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325" activeTab="0"/>
  </bookViews>
  <sheets>
    <sheet name="Kreisprofil TWR Trapez" sheetId="1" r:id="rId1"/>
  </sheets>
  <definedNames>
    <definedName name="_xlnm.Print_Area" localSheetId="0">'Kreisprofil TWR Trapez'!$A$1:$O$65</definedName>
  </definedNames>
  <calcPr fullCalcOnLoad="1"/>
</workbook>
</file>

<file path=xl/sharedStrings.xml><?xml version="1.0" encoding="utf-8"?>
<sst xmlns="http://schemas.openxmlformats.org/spreadsheetml/2006/main" count="124" uniqueCount="93">
  <si>
    <t>Hydraulische Berechnung</t>
  </si>
  <si>
    <t>Kreisprofil mit Trockenwetterrinne (Trapezgerinne)</t>
  </si>
  <si>
    <t>Vorgaben:</t>
  </si>
  <si>
    <r>
      <t>Q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</si>
  <si>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</si>
  <si>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Maximalabfluß</t>
  </si>
  <si>
    <r>
      <t>I</t>
    </r>
    <r>
      <rPr>
        <vertAlign val="subscript"/>
        <sz val="10"/>
        <rFont val="Arial"/>
        <family val="2"/>
      </rPr>
      <t>s</t>
    </r>
  </si>
  <si>
    <r>
      <t>0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00</t>
    </r>
  </si>
  <si>
    <t>Sohlgefälle</t>
  </si>
  <si>
    <r>
      <t>k</t>
    </r>
    <r>
      <rPr>
        <vertAlign val="subscript"/>
        <sz val="10"/>
        <rFont val="Arial"/>
        <family val="2"/>
      </rPr>
      <t>b</t>
    </r>
  </si>
  <si>
    <t>mm</t>
  </si>
  <si>
    <t>betriebliche Rauhheit</t>
  </si>
  <si>
    <t>g</t>
  </si>
  <si>
    <r>
      <t>m/s</t>
    </r>
    <r>
      <rPr>
        <vertAlign val="superscript"/>
        <sz val="10"/>
        <rFont val="Arial"/>
        <family val="2"/>
      </rPr>
      <t>2</t>
    </r>
  </si>
  <si>
    <t>Fallbeschleunigung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</si>
  <si>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</si>
  <si>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kinematische Zähigkeit</t>
  </si>
  <si>
    <t>Gewählt:</t>
  </si>
  <si>
    <t>Trockenwetterrinne</t>
  </si>
  <si>
    <t>Sohlbreite</t>
  </si>
  <si>
    <r>
      <t>S</t>
    </r>
    <r>
      <rPr>
        <vertAlign val="subscript"/>
        <sz val="10"/>
        <rFont val="Arial"/>
        <family val="2"/>
      </rPr>
      <t xml:space="preserve">Ri      </t>
    </r>
  </si>
  <si>
    <t>m</t>
  </si>
  <si>
    <t>Bermenneigung</t>
  </si>
  <si>
    <r>
      <t xml:space="preserve">1 : n  </t>
    </r>
    <r>
      <rPr>
        <b/>
        <sz val="10"/>
        <rFont val="Arial"/>
        <family val="2"/>
      </rPr>
      <t>1 :</t>
    </r>
  </si>
  <si>
    <r>
      <t>Berechnung</t>
    </r>
    <r>
      <rPr>
        <sz val="10"/>
        <rFont val="Arial"/>
        <family val="0"/>
      </rPr>
      <t xml:space="preserve"> der erforderlichen Abflußquerschnittsfläche A &gt;= A</t>
    </r>
    <r>
      <rPr>
        <vertAlign val="subscript"/>
        <sz val="10"/>
        <rFont val="Arial"/>
        <family val="2"/>
      </rPr>
      <t>erf</t>
    </r>
  </si>
  <si>
    <t>Die Berechnung erfolgt iterativ:</t>
  </si>
  <si>
    <t>gewählt:</t>
  </si>
  <si>
    <t>Geometrische Vorgaben:</t>
  </si>
  <si>
    <t>DN</t>
  </si>
  <si>
    <r>
      <t>d</t>
    </r>
    <r>
      <rPr>
        <b/>
        <vertAlign val="subscript"/>
        <sz val="10"/>
        <rFont val="Arial"/>
        <family val="2"/>
      </rPr>
      <t>v</t>
    </r>
  </si>
  <si>
    <t>A</t>
  </si>
  <si>
    <r>
      <t>l</t>
    </r>
    <r>
      <rPr>
        <b/>
        <vertAlign val="subscript"/>
        <sz val="10"/>
        <rFont val="Arial"/>
        <family val="2"/>
      </rPr>
      <t>u</t>
    </r>
  </si>
  <si>
    <r>
      <t>r</t>
    </r>
    <r>
      <rPr>
        <b/>
        <vertAlign val="subscript"/>
        <sz val="10"/>
        <rFont val="Arial"/>
        <family val="2"/>
      </rPr>
      <t>hy</t>
    </r>
  </si>
  <si>
    <t>Radius DN/2           r =</t>
  </si>
  <si>
    <r>
      <t>m</t>
    </r>
    <r>
      <rPr>
        <vertAlign val="superscript"/>
        <sz val="10"/>
        <rFont val="Arial"/>
        <family val="2"/>
      </rPr>
      <t>2</t>
    </r>
  </si>
  <si>
    <r>
      <t>Querschnittshöhe   d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=</t>
    </r>
  </si>
  <si>
    <t>Trockenwetterrinne:</t>
  </si>
  <si>
    <r>
      <t xml:space="preserve">m </t>
    </r>
    <r>
      <rPr>
        <sz val="7"/>
        <rFont val="Arial"/>
        <family val="2"/>
      </rPr>
      <t xml:space="preserve"> </t>
    </r>
  </si>
  <si>
    <t>Nennweite</t>
  </si>
  <si>
    <r>
      <t>A</t>
    </r>
    <r>
      <rPr>
        <vertAlign val="subscript"/>
        <sz val="10"/>
        <rFont val="Arial"/>
        <family val="2"/>
      </rPr>
      <t>v</t>
    </r>
  </si>
  <si>
    <t>Abflußquerschnitt</t>
  </si>
  <si>
    <t>Bermenneigung:</t>
  </si>
  <si>
    <r>
      <t>l</t>
    </r>
    <r>
      <rPr>
        <vertAlign val="subscript"/>
        <sz val="10"/>
        <rFont val="Arial"/>
        <family val="2"/>
      </rPr>
      <t>u</t>
    </r>
  </si>
  <si>
    <t>benetzter Umfang</t>
  </si>
  <si>
    <t xml:space="preserve">1 : n         =   </t>
  </si>
  <si>
    <t>1 :</t>
  </si>
  <si>
    <r>
      <t>v</t>
    </r>
    <r>
      <rPr>
        <b/>
        <vertAlign val="subscript"/>
        <sz val="10"/>
        <rFont val="Arial"/>
        <family val="2"/>
      </rPr>
      <t>v</t>
    </r>
  </si>
  <si>
    <t>m/s</t>
  </si>
  <si>
    <t>Fließgeschwindigkeit</t>
  </si>
  <si>
    <t xml:space="preserve">Berme: </t>
  </si>
  <si>
    <r>
      <t>Q</t>
    </r>
    <r>
      <rPr>
        <b/>
        <vertAlign val="subscript"/>
        <sz val="10"/>
        <rFont val="Arial"/>
        <family val="2"/>
      </rPr>
      <t>v</t>
    </r>
  </si>
  <si>
    <t>Abfluß bei Vollfüllung</t>
  </si>
  <si>
    <r>
      <t>h</t>
    </r>
    <r>
      <rPr>
        <vertAlign val="subscript"/>
        <sz val="10"/>
        <rFont val="Arial"/>
        <family val="2"/>
      </rPr>
      <t>B</t>
    </r>
  </si>
  <si>
    <t>Teilfüllung</t>
  </si>
  <si>
    <t>Fließ-               tiefe</t>
  </si>
  <si>
    <t>Abfluß-querschnitt</t>
  </si>
  <si>
    <t>benetzter       Umfang</t>
  </si>
  <si>
    <t>hydr.  Radius</t>
  </si>
  <si>
    <t>Fließ-          geschwin-   digkeit</t>
  </si>
  <si>
    <t>Abfluß</t>
  </si>
  <si>
    <t>Abfluß-         verhältnis</t>
  </si>
  <si>
    <t>Wasser-    spiegel-     breite</t>
  </si>
  <si>
    <t>Foude-  Zahl</t>
  </si>
  <si>
    <t>Energie-          höhe</t>
  </si>
  <si>
    <t>Wand- schub- spannung</t>
  </si>
  <si>
    <r>
      <t>h</t>
    </r>
    <r>
      <rPr>
        <vertAlign val="subscript"/>
        <sz val="10"/>
        <rFont val="Arial"/>
        <family val="2"/>
      </rPr>
      <t>T</t>
    </r>
  </si>
  <si>
    <t xml:space="preserve">A </t>
  </si>
  <si>
    <r>
      <t>r</t>
    </r>
    <r>
      <rPr>
        <vertAlign val="subscript"/>
        <sz val="10"/>
        <rFont val="Arial"/>
        <family val="2"/>
      </rPr>
      <t>hy</t>
    </r>
  </si>
  <si>
    <t>v</t>
  </si>
  <si>
    <t>Q</t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</si>
  <si>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/Q</t>
    </r>
    <r>
      <rPr>
        <vertAlign val="subscript"/>
        <sz val="10"/>
        <rFont val="Arial"/>
        <family val="2"/>
      </rPr>
      <t>v</t>
    </r>
  </si>
  <si>
    <r>
      <t>b</t>
    </r>
    <r>
      <rPr>
        <vertAlign val="subscript"/>
        <sz val="10"/>
        <rFont val="Arial"/>
        <family val="2"/>
      </rPr>
      <t>sp</t>
    </r>
  </si>
  <si>
    <t>Fr</t>
  </si>
  <si>
    <r>
      <t>h</t>
    </r>
    <r>
      <rPr>
        <vertAlign val="subscript"/>
        <sz val="10"/>
        <rFont val="Arial"/>
        <family val="2"/>
      </rPr>
      <t>E</t>
    </r>
  </si>
  <si>
    <t>τ</t>
  </si>
  <si>
    <r>
      <t>h</t>
    </r>
    <r>
      <rPr>
        <b/>
        <vertAlign val="subscript"/>
        <sz val="10"/>
        <rFont val="Arial"/>
        <family val="2"/>
      </rPr>
      <t>T</t>
    </r>
  </si>
  <si>
    <t>-</t>
  </si>
  <si>
    <r>
      <t>N/m</t>
    </r>
    <r>
      <rPr>
        <vertAlign val="superscript"/>
        <sz val="10"/>
        <rFont val="Arial"/>
        <family val="2"/>
      </rPr>
      <t>2</t>
    </r>
  </si>
  <si>
    <r>
      <t>Fließtiefe bei Trockenwetter (Q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</si>
  <si>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Fließtiefe bei Trockenwetter (z.B. Q</t>
    </r>
    <r>
      <rPr>
        <b/>
        <vertAlign val="subscript"/>
        <sz val="10"/>
        <rFont val="Arial"/>
        <family val="2"/>
      </rPr>
      <t>t max</t>
    </r>
    <r>
      <rPr>
        <b/>
        <sz val="10"/>
        <rFont val="Arial"/>
        <family val="2"/>
      </rPr>
      <t>)</t>
    </r>
  </si>
  <si>
    <r>
      <t>Fließtiefe beim Bemessungsabfluß (Q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</si>
  <si>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B</t>
    </r>
  </si>
  <si>
    <r>
      <t>m</t>
    </r>
    <r>
      <rPr>
        <i/>
        <vertAlign val="superscript"/>
        <sz val="10"/>
        <rFont val="Arial"/>
        <family val="2"/>
      </rPr>
      <t>2</t>
    </r>
  </si>
  <si>
    <r>
      <t>A</t>
    </r>
    <r>
      <rPr>
        <b/>
        <i/>
        <vertAlign val="subscript"/>
        <sz val="10"/>
        <rFont val="Arial"/>
        <family val="2"/>
      </rPr>
      <t>erf</t>
    </r>
  </si>
  <si>
    <r>
      <t>a</t>
    </r>
    <r>
      <rPr>
        <sz val="7"/>
        <rFont val="Arial"/>
        <family val="2"/>
      </rPr>
      <t xml:space="preserve"> (TWR-Rinne-Rohrsohle)</t>
    </r>
  </si>
  <si>
    <t>d</t>
  </si>
  <si>
    <t>Profil-     höhe</t>
  </si>
  <si>
    <r>
      <t>h</t>
    </r>
    <r>
      <rPr>
        <b/>
        <vertAlign val="subscript"/>
        <sz val="10"/>
        <rFont val="Arial"/>
        <family val="2"/>
      </rPr>
      <t>B</t>
    </r>
  </si>
  <si>
    <t>a</t>
  </si>
  <si>
    <t>Kreisquerschnitt</t>
  </si>
  <si>
    <t>Bri</t>
  </si>
  <si>
    <t xml:space="preserve">Abstand TWR-Rinne-Rohrsohle       </t>
  </si>
  <si>
    <t>Stand: 16. 03. 2016 E.Va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</si>
</sst>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00000"/>
    <numFmt numFmtId="167" formatCode="0.000000000000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.00000000"/>
    <numFmt numFmtId="179" formatCode=";;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bscript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64" fontId="22" fillId="24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2" fontId="22" fillId="21" borderId="12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0" xfId="0" applyNumberFormat="1" applyFont="1" applyFill="1" applyBorder="1" applyAlignment="1" applyProtection="1">
      <alignment horizontal="center" vertical="center" textRotation="90"/>
      <protection hidden="1"/>
    </xf>
    <xf numFmtId="11" fontId="0" fillId="0" borderId="0" xfId="0" applyNumberForma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" fontId="22" fillId="21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1" fontId="0" fillId="0" borderId="13" xfId="0" applyNumberFormat="1" applyBorder="1" applyAlignment="1" applyProtection="1">
      <alignment vertical="center"/>
      <protection hidden="1"/>
    </xf>
    <xf numFmtId="179" fontId="0" fillId="0" borderId="0" xfId="0" applyNumberFormat="1" applyFont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2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175" fontId="0" fillId="0" borderId="0" xfId="0" applyNumberFormat="1" applyAlignment="1" applyProtection="1">
      <alignment/>
      <protection hidden="1"/>
    </xf>
    <xf numFmtId="0" fontId="0" fillId="21" borderId="19" xfId="0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vertical="center"/>
      <protection hidden="1"/>
    </xf>
    <xf numFmtId="0" fontId="21" fillId="0" borderId="11" xfId="0" applyFont="1" applyBorder="1" applyAlignment="1" applyProtection="1">
      <alignment horizontal="left"/>
      <protection hidden="1"/>
    </xf>
    <xf numFmtId="1" fontId="0" fillId="0" borderId="21" xfId="0" applyNumberFormat="1" applyBorder="1" applyAlignment="1" applyProtection="1">
      <alignment vertical="center"/>
      <protection hidden="1"/>
    </xf>
    <xf numFmtId="164" fontId="22" fillId="2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" fontId="21" fillId="21" borderId="12" xfId="0" applyNumberFormat="1" applyFont="1" applyFill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/>
      <protection hidden="1"/>
    </xf>
    <xf numFmtId="11" fontId="0" fillId="25" borderId="0" xfId="0" applyNumberFormat="1" applyFill="1" applyBorder="1" applyAlignment="1" applyProtection="1">
      <alignment vertical="center"/>
      <protection hidden="1"/>
    </xf>
    <xf numFmtId="164" fontId="22" fillId="25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right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49" fontId="22" fillId="0" borderId="0" xfId="0" applyNumberFormat="1" applyFont="1" applyBorder="1" applyAlignment="1" applyProtection="1">
      <alignment horizontal="right" vertical="center"/>
      <protection hidden="1"/>
    </xf>
    <xf numFmtId="2" fontId="22" fillId="25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right" vertical="center"/>
      <protection hidden="1"/>
    </xf>
    <xf numFmtId="164" fontId="0" fillId="25" borderId="0" xfId="0" applyNumberFormat="1" applyFill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164" fontId="22" fillId="0" borderId="12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64" fontId="0" fillId="26" borderId="15" xfId="0" applyNumberFormat="1" applyFill="1" applyBorder="1" applyAlignment="1" applyProtection="1">
      <alignment horizontal="center" vertical="center"/>
      <protection hidden="1"/>
    </xf>
    <xf numFmtId="164" fontId="0" fillId="26" borderId="15" xfId="0" applyNumberFormat="1" applyFont="1" applyFill="1" applyBorder="1" applyAlignment="1" applyProtection="1">
      <alignment horizontal="center" vertical="center"/>
      <protection hidden="1"/>
    </xf>
    <xf numFmtId="164" fontId="22" fillId="26" borderId="15" xfId="0" applyNumberFormat="1" applyFont="1" applyFill="1" applyBorder="1" applyAlignment="1" applyProtection="1">
      <alignment horizontal="center" vertical="center"/>
      <protection hidden="1"/>
    </xf>
    <xf numFmtId="2" fontId="0" fillId="26" borderId="15" xfId="0" applyNumberFormat="1" applyFill="1" applyBorder="1" applyAlignment="1" applyProtection="1">
      <alignment horizontal="center" vertical="center"/>
      <protection hidden="1"/>
    </xf>
    <xf numFmtId="2" fontId="0" fillId="26" borderId="23" xfId="0" applyNumberFormat="1" applyFill="1" applyBorder="1" applyAlignment="1" applyProtection="1">
      <alignment horizontal="center" vertical="center"/>
      <protection hidden="1"/>
    </xf>
    <xf numFmtId="164" fontId="0" fillId="26" borderId="12" xfId="0" applyNumberFormat="1" applyFill="1" applyBorder="1" applyAlignment="1" applyProtection="1">
      <alignment horizontal="center" vertical="center"/>
      <protection hidden="1"/>
    </xf>
    <xf numFmtId="164" fontId="0" fillId="26" borderId="12" xfId="0" applyNumberFormat="1" applyFont="1" applyFill="1" applyBorder="1" applyAlignment="1" applyProtection="1">
      <alignment horizontal="center" vertical="center"/>
      <protection hidden="1"/>
    </xf>
    <xf numFmtId="164" fontId="22" fillId="26" borderId="12" xfId="0" applyNumberFormat="1" applyFont="1" applyFill="1" applyBorder="1" applyAlignment="1" applyProtection="1">
      <alignment horizontal="center" vertical="center"/>
      <protection hidden="1"/>
    </xf>
    <xf numFmtId="2" fontId="0" fillId="26" borderId="12" xfId="0" applyNumberFormat="1" applyFill="1" applyBorder="1" applyAlignment="1" applyProtection="1">
      <alignment horizontal="center" vertical="center"/>
      <protection hidden="1"/>
    </xf>
    <xf numFmtId="2" fontId="0" fillId="26" borderId="22" xfId="0" applyNumberForma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textRotation="90"/>
      <protection hidden="1"/>
    </xf>
    <xf numFmtId="0" fontId="22" fillId="0" borderId="0" xfId="0" applyFont="1" applyBorder="1" applyAlignment="1" applyProtection="1">
      <alignment vertical="center" textRotation="90"/>
      <protection hidden="1"/>
    </xf>
    <xf numFmtId="164" fontId="22" fillId="0" borderId="10" xfId="0" applyNumberFormat="1" applyFont="1" applyBorder="1" applyAlignment="1" applyProtection="1">
      <alignment vertical="center" textRotation="90"/>
      <protection hidden="1"/>
    </xf>
    <xf numFmtId="164" fontId="0" fillId="26" borderId="20" xfId="0" applyNumberFormat="1" applyFill="1" applyBorder="1" applyAlignment="1" applyProtection="1">
      <alignment horizontal="center" vertical="center"/>
      <protection hidden="1"/>
    </xf>
    <xf numFmtId="164" fontId="0" fillId="26" borderId="20" xfId="0" applyNumberFormat="1" applyFont="1" applyFill="1" applyBorder="1" applyAlignment="1" applyProtection="1">
      <alignment horizontal="center" vertical="center"/>
      <protection hidden="1"/>
    </xf>
    <xf numFmtId="164" fontId="22" fillId="26" borderId="20" xfId="0" applyNumberFormat="1" applyFont="1" applyFill="1" applyBorder="1" applyAlignment="1" applyProtection="1">
      <alignment horizontal="center" vertical="center"/>
      <protection hidden="1"/>
    </xf>
    <xf numFmtId="2" fontId="0" fillId="26" borderId="20" xfId="0" applyNumberFormat="1" applyFill="1" applyBorder="1" applyAlignment="1" applyProtection="1">
      <alignment horizontal="center" vertical="center"/>
      <protection hidden="1"/>
    </xf>
    <xf numFmtId="2" fontId="0" fillId="26" borderId="24" xfId="0" applyNumberFormat="1" applyFill="1" applyBorder="1" applyAlignment="1" applyProtection="1">
      <alignment horizontal="center" vertical="center"/>
      <protection hidden="1"/>
    </xf>
    <xf numFmtId="164" fontId="0" fillId="25" borderId="15" xfId="0" applyNumberFormat="1" applyFill="1" applyBorder="1" applyAlignment="1" applyProtection="1">
      <alignment horizontal="center" vertical="center"/>
      <protection hidden="1"/>
    </xf>
    <xf numFmtId="164" fontId="22" fillId="25" borderId="15" xfId="0" applyNumberFormat="1" applyFont="1" applyFill="1" applyBorder="1" applyAlignment="1" applyProtection="1">
      <alignment horizontal="center" vertical="center"/>
      <protection hidden="1"/>
    </xf>
    <xf numFmtId="2" fontId="0" fillId="25" borderId="15" xfId="0" applyNumberFormat="1" applyFill="1" applyBorder="1" applyAlignment="1" applyProtection="1">
      <alignment horizontal="center" vertical="center"/>
      <protection hidden="1"/>
    </xf>
    <xf numFmtId="2" fontId="0" fillId="25" borderId="23" xfId="0" applyNumberFormat="1" applyFill="1" applyBorder="1" applyAlignment="1" applyProtection="1">
      <alignment horizontal="center" vertical="center"/>
      <protection hidden="1"/>
    </xf>
    <xf numFmtId="164" fontId="0" fillId="25" borderId="12" xfId="0" applyNumberFormat="1" applyFill="1" applyBorder="1" applyAlignment="1" applyProtection="1">
      <alignment horizontal="center" vertical="center"/>
      <protection hidden="1"/>
    </xf>
    <xf numFmtId="164" fontId="0" fillId="25" borderId="12" xfId="0" applyNumberFormat="1" applyFont="1" applyFill="1" applyBorder="1" applyAlignment="1" applyProtection="1">
      <alignment horizontal="center" vertical="center"/>
      <protection hidden="1"/>
    </xf>
    <xf numFmtId="2" fontId="0" fillId="25" borderId="12" xfId="0" applyNumberFormat="1" applyFill="1" applyBorder="1" applyAlignment="1" applyProtection="1">
      <alignment horizontal="center" vertical="center"/>
      <protection hidden="1"/>
    </xf>
    <xf numFmtId="2" fontId="0" fillId="25" borderId="22" xfId="0" applyNumberFormat="1" applyFill="1" applyBorder="1" applyAlignment="1" applyProtection="1">
      <alignment horizontal="center" vertical="center"/>
      <protection hidden="1"/>
    </xf>
    <xf numFmtId="164" fontId="0" fillId="25" borderId="20" xfId="0" applyNumberFormat="1" applyFill="1" applyBorder="1" applyAlignment="1" applyProtection="1">
      <alignment horizontal="center" vertical="center"/>
      <protection hidden="1"/>
    </xf>
    <xf numFmtId="164" fontId="0" fillId="25" borderId="20" xfId="0" applyNumberFormat="1" applyFont="1" applyFill="1" applyBorder="1" applyAlignment="1" applyProtection="1">
      <alignment horizontal="center" vertical="center"/>
      <protection hidden="1"/>
    </xf>
    <xf numFmtId="164" fontId="22" fillId="25" borderId="20" xfId="0" applyNumberFormat="1" applyFont="1" applyFill="1" applyBorder="1" applyAlignment="1" applyProtection="1">
      <alignment horizontal="center" vertical="center"/>
      <protection hidden="1"/>
    </xf>
    <xf numFmtId="2" fontId="0" fillId="25" borderId="20" xfId="0" applyNumberFormat="1" applyFill="1" applyBorder="1" applyAlignment="1" applyProtection="1">
      <alignment horizontal="center" vertical="center"/>
      <protection hidden="1"/>
    </xf>
    <xf numFmtId="2" fontId="0" fillId="25" borderId="24" xfId="0" applyNumberFormat="1" applyFill="1" applyBorder="1" applyAlignment="1" applyProtection="1">
      <alignment horizontal="center" vertical="center"/>
      <protection hidden="1"/>
    </xf>
    <xf numFmtId="164" fontId="0" fillId="20" borderId="25" xfId="0" applyNumberFormat="1" applyFill="1" applyBorder="1" applyAlignment="1" applyProtection="1">
      <alignment horizontal="center" vertical="center"/>
      <protection hidden="1"/>
    </xf>
    <xf numFmtId="164" fontId="0" fillId="20" borderId="26" xfId="0" applyNumberFormat="1" applyFill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 applyProtection="1">
      <alignment/>
      <protection hidden="1"/>
    </xf>
    <xf numFmtId="176" fontId="0" fillId="0" borderId="0" xfId="0" applyNumberFormat="1" applyBorder="1" applyAlignment="1" applyProtection="1">
      <alignment/>
      <protection hidden="1"/>
    </xf>
    <xf numFmtId="176" fontId="0" fillId="0" borderId="13" xfId="0" applyNumberFormat="1" applyBorder="1" applyAlignment="1" applyProtection="1">
      <alignment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164" fontId="22" fillId="0" borderId="25" xfId="0" applyNumberFormat="1" applyFon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25" borderId="0" xfId="0" applyNumberForma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vertical="center"/>
      <protection hidden="1"/>
    </xf>
    <xf numFmtId="164" fontId="0" fillId="25" borderId="27" xfId="0" applyNumberFormat="1" applyFill="1" applyBorder="1" applyAlignment="1" applyProtection="1">
      <alignment horizontal="center" vertical="center"/>
      <protection hidden="1"/>
    </xf>
    <xf numFmtId="164" fontId="22" fillId="25" borderId="27" xfId="0" applyNumberFormat="1" applyFont="1" applyFill="1" applyBorder="1" applyAlignment="1" applyProtection="1">
      <alignment horizontal="center" vertical="center"/>
      <protection hidden="1"/>
    </xf>
    <xf numFmtId="2" fontId="0" fillId="25" borderId="27" xfId="0" applyNumberFormat="1" applyFill="1" applyBorder="1" applyAlignment="1" applyProtection="1">
      <alignment horizontal="center" vertical="center"/>
      <protection hidden="1"/>
    </xf>
    <xf numFmtId="0" fontId="0" fillId="25" borderId="27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32" fillId="25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21" borderId="17" xfId="0" applyFill="1" applyBorder="1" applyAlignment="1" applyProtection="1">
      <alignment horizontal="center" vertical="center"/>
      <protection locked="0"/>
    </xf>
    <xf numFmtId="11" fontId="33" fillId="0" borderId="15" xfId="0" applyNumberFormat="1" applyFont="1" applyBorder="1" applyAlignment="1" applyProtection="1">
      <alignment horizontal="center" vertical="center"/>
      <protection hidden="1"/>
    </xf>
    <xf numFmtId="11" fontId="34" fillId="0" borderId="12" xfId="0" applyNumberFormat="1" applyFont="1" applyBorder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164" fontId="33" fillId="0" borderId="12" xfId="0" applyNumberFormat="1" applyFont="1" applyBorder="1" applyAlignment="1" applyProtection="1">
      <alignment horizontal="center" vertical="center"/>
      <protection hidden="1"/>
    </xf>
    <xf numFmtId="164" fontId="33" fillId="0" borderId="22" xfId="0" applyNumberFormat="1" applyFont="1" applyBorder="1" applyAlignment="1" applyProtection="1">
      <alignment horizontal="center" vertical="center"/>
      <protection hidden="1"/>
    </xf>
    <xf numFmtId="164" fontId="33" fillId="26" borderId="20" xfId="0" applyNumberFormat="1" applyFont="1" applyFill="1" applyBorder="1" applyAlignment="1" applyProtection="1">
      <alignment horizontal="center" vertical="center"/>
      <protection hidden="1"/>
    </xf>
    <xf numFmtId="164" fontId="33" fillId="26" borderId="24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0" fillId="25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164" fontId="0" fillId="25" borderId="29" xfId="0" applyNumberFormat="1" applyFill="1" applyBorder="1" applyAlignment="1" applyProtection="1">
      <alignment horizontal="center" vertical="center"/>
      <protection hidden="1"/>
    </xf>
    <xf numFmtId="179" fontId="0" fillId="0" borderId="13" xfId="0" applyNumberFormat="1" applyBorder="1" applyAlignment="1" applyProtection="1">
      <alignment/>
      <protection hidden="1"/>
    </xf>
    <xf numFmtId="176" fontId="0" fillId="0" borderId="13" xfId="0" applyNumberFormat="1" applyBorder="1" applyAlignment="1" applyProtection="1">
      <alignment/>
      <protection hidden="1"/>
    </xf>
    <xf numFmtId="175" fontId="0" fillId="0" borderId="13" xfId="0" applyNumberFormat="1" applyBorder="1" applyAlignment="1" applyProtection="1">
      <alignment/>
      <protection hidden="1"/>
    </xf>
    <xf numFmtId="164" fontId="0" fillId="20" borderId="30" xfId="0" applyNumberFormat="1" applyFill="1" applyBorder="1" applyAlignment="1" applyProtection="1">
      <alignment horizontal="center" vertical="center"/>
      <protection hidden="1"/>
    </xf>
    <xf numFmtId="164" fontId="22" fillId="21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 vertical="center"/>
      <protection hidden="1"/>
    </xf>
    <xf numFmtId="164" fontId="22" fillId="26" borderId="37" xfId="0" applyNumberFormat="1" applyFont="1" applyFill="1" applyBorder="1" applyAlignment="1" applyProtection="1">
      <alignment horizontal="center" vertical="center"/>
      <protection hidden="1"/>
    </xf>
    <xf numFmtId="164" fontId="22" fillId="26" borderId="38" xfId="0" applyNumberFormat="1" applyFont="1" applyFill="1" applyBorder="1" applyAlignment="1" applyProtection="1">
      <alignment horizontal="center" vertical="center"/>
      <protection hidden="1"/>
    </xf>
    <xf numFmtId="164" fontId="22" fillId="25" borderId="37" xfId="0" applyNumberFormat="1" applyFont="1" applyFill="1" applyBorder="1" applyAlignment="1" applyProtection="1">
      <alignment horizontal="center" vertical="center"/>
      <protection hidden="1"/>
    </xf>
    <xf numFmtId="164" fontId="22" fillId="25" borderId="38" xfId="0" applyNumberFormat="1" applyFont="1" applyFill="1" applyBorder="1" applyAlignment="1" applyProtection="1">
      <alignment horizontal="center" vertical="center"/>
      <protection hidden="1"/>
    </xf>
    <xf numFmtId="164" fontId="0" fillId="26" borderId="25" xfId="0" applyNumberFormat="1" applyFill="1" applyBorder="1" applyAlignment="1" applyProtection="1">
      <alignment horizontal="center" vertical="center"/>
      <protection hidden="1"/>
    </xf>
    <xf numFmtId="164" fontId="22" fillId="26" borderId="25" xfId="0" applyNumberFormat="1" applyFont="1" applyFill="1" applyBorder="1" applyAlignment="1" applyProtection="1">
      <alignment horizontal="center" vertical="center"/>
      <protection hidden="1"/>
    </xf>
    <xf numFmtId="2" fontId="0" fillId="26" borderId="25" xfId="0" applyNumberFormat="1" applyFill="1" applyBorder="1" applyAlignment="1" applyProtection="1">
      <alignment horizontal="center" vertical="center"/>
      <protection hidden="1"/>
    </xf>
    <xf numFmtId="164" fontId="34" fillId="20" borderId="39" xfId="0" applyNumberFormat="1" applyFont="1" applyFill="1" applyBorder="1" applyAlignment="1" applyProtection="1">
      <alignment horizontal="center" vertical="center"/>
      <protection hidden="1"/>
    </xf>
    <xf numFmtId="164" fontId="34" fillId="20" borderId="40" xfId="0" applyNumberFormat="1" applyFont="1" applyFill="1" applyBorder="1" applyAlignment="1" applyProtection="1">
      <alignment horizontal="center" vertical="center"/>
      <protection hidden="1"/>
    </xf>
    <xf numFmtId="164" fontId="34" fillId="20" borderId="41" xfId="0" applyNumberFormat="1" applyFont="1" applyFill="1" applyBorder="1" applyAlignment="1" applyProtection="1">
      <alignment horizontal="center" vertical="center"/>
      <protection hidden="1"/>
    </xf>
    <xf numFmtId="164" fontId="34" fillId="20" borderId="42" xfId="0" applyNumberFormat="1" applyFont="1" applyFill="1" applyBorder="1" applyAlignment="1" applyProtection="1">
      <alignment horizontal="center" vertical="center"/>
      <protection hidden="1"/>
    </xf>
    <xf numFmtId="164" fontId="34" fillId="2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164" fontId="0" fillId="25" borderId="44" xfId="0" applyNumberFormat="1" applyFont="1" applyFill="1" applyBorder="1" applyAlignment="1" applyProtection="1">
      <alignment horizontal="center" vertical="center"/>
      <protection hidden="1"/>
    </xf>
    <xf numFmtId="2" fontId="22" fillId="25" borderId="45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25" borderId="11" xfId="0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164" fontId="22" fillId="21" borderId="12" xfId="0" applyNumberFormat="1" applyFont="1" applyFill="1" applyBorder="1" applyAlignment="1" applyProtection="1">
      <alignment horizontal="center" vertical="center"/>
      <protection locked="0"/>
    </xf>
    <xf numFmtId="164" fontId="0" fillId="25" borderId="47" xfId="0" applyNumberFormat="1" applyFill="1" applyBorder="1" applyAlignment="1" applyProtection="1">
      <alignment horizontal="center" vertical="center"/>
      <protection hidden="1"/>
    </xf>
    <xf numFmtId="176" fontId="0" fillId="0" borderId="47" xfId="0" applyNumberFormat="1" applyBorder="1" applyAlignment="1" applyProtection="1">
      <alignment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0" fontId="0" fillId="25" borderId="47" xfId="0" applyFill="1" applyBorder="1" applyAlignment="1" applyProtection="1">
      <alignment vertical="center"/>
      <protection hidden="1"/>
    </xf>
    <xf numFmtId="2" fontId="0" fillId="26" borderId="26" xfId="0" applyNumberForma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/>
      <protection hidden="1"/>
    </xf>
    <xf numFmtId="164" fontId="0" fillId="25" borderId="49" xfId="0" applyNumberForma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64" fontId="22" fillId="25" borderId="13" xfId="0" applyNumberFormat="1" applyFont="1" applyFill="1" applyBorder="1" applyAlignment="1" applyProtection="1">
      <alignment horizontal="left"/>
      <protection hidden="1"/>
    </xf>
    <xf numFmtId="164" fontId="22" fillId="0" borderId="13" xfId="0" applyNumberFormat="1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20" fillId="26" borderId="51" xfId="0" applyFont="1" applyFill="1" applyBorder="1" applyAlignment="1" applyProtection="1">
      <alignment horizontal="center" vertical="center"/>
      <protection hidden="1"/>
    </xf>
    <xf numFmtId="0" fontId="20" fillId="26" borderId="52" xfId="0" applyFont="1" applyFill="1" applyBorder="1" applyAlignment="1" applyProtection="1">
      <alignment horizontal="center" vertical="center"/>
      <protection hidden="1"/>
    </xf>
    <xf numFmtId="0" fontId="20" fillId="26" borderId="53" xfId="0" applyFont="1" applyFill="1" applyBorder="1" applyAlignment="1" applyProtection="1">
      <alignment horizontal="center" vertical="center"/>
      <protection hidden="1"/>
    </xf>
    <xf numFmtId="0" fontId="20" fillId="26" borderId="54" xfId="0" applyFont="1" applyFill="1" applyBorder="1" applyAlignment="1" applyProtection="1">
      <alignment horizontal="center" vertical="center"/>
      <protection hidden="1"/>
    </xf>
    <xf numFmtId="0" fontId="20" fillId="26" borderId="55" xfId="0" applyFont="1" applyFill="1" applyBorder="1" applyAlignment="1" applyProtection="1">
      <alignment horizontal="center" vertical="center"/>
      <protection hidden="1"/>
    </xf>
    <xf numFmtId="0" fontId="20" fillId="26" borderId="56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22" fillId="0" borderId="6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4" fontId="22" fillId="0" borderId="10" xfId="0" applyNumberFormat="1" applyFont="1" applyBorder="1" applyAlignment="1" applyProtection="1">
      <alignment horizontal="center" vertical="top" textRotation="90"/>
      <protection hidden="1"/>
    </xf>
    <xf numFmtId="0" fontId="22" fillId="0" borderId="0" xfId="0" applyFont="1" applyBorder="1" applyAlignment="1" applyProtection="1">
      <alignment horizontal="right" vertical="center" textRotation="90"/>
      <protection hidden="1"/>
    </xf>
    <xf numFmtId="164" fontId="22" fillId="0" borderId="10" xfId="0" applyNumberFormat="1" applyFont="1" applyBorder="1" applyAlignment="1" applyProtection="1">
      <alignment horizontal="center" vertical="center" textRotation="90"/>
      <protection hidden="1"/>
    </xf>
    <xf numFmtId="164" fontId="22" fillId="26" borderId="62" xfId="0" applyNumberFormat="1" applyFont="1" applyFill="1" applyBorder="1" applyAlignment="1" applyProtection="1">
      <alignment horizontal="center" vertical="center"/>
      <protection hidden="1"/>
    </xf>
    <xf numFmtId="164" fontId="22" fillId="26" borderId="6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38100</xdr:rowOff>
    </xdr:from>
    <xdr:to>
      <xdr:col>0</xdr:col>
      <xdr:colOff>409575</xdr:colOff>
      <xdr:row>8</xdr:row>
      <xdr:rowOff>133350</xdr:rowOff>
    </xdr:to>
    <xdr:sp>
      <xdr:nvSpPr>
        <xdr:cNvPr id="1" name="Freeform 1"/>
        <xdr:cNvSpPr>
          <a:spLocks/>
        </xdr:cNvSpPr>
      </xdr:nvSpPr>
      <xdr:spPr>
        <a:xfrm>
          <a:off x="333375" y="2095500"/>
          <a:ext cx="76200" cy="95250"/>
        </a:xfrm>
        <a:custGeom>
          <a:pathLst>
            <a:path h="19" w="16">
              <a:moveTo>
                <a:pt x="0" y="5"/>
              </a:moveTo>
              <a:cubicBezTo>
                <a:pt x="3" y="12"/>
                <a:pt x="6" y="19"/>
                <a:pt x="9" y="19"/>
              </a:cubicBezTo>
              <a:cubicBezTo>
                <a:pt x="12" y="19"/>
                <a:pt x="16" y="6"/>
                <a:pt x="16" y="3"/>
              </a:cubicBezTo>
              <a:cubicBezTo>
                <a:pt x="16" y="0"/>
                <a:pt x="11" y="3"/>
                <a:pt x="1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200025</xdr:colOff>
      <xdr:row>0</xdr:row>
      <xdr:rowOff>28575</xdr:rowOff>
    </xdr:from>
    <xdr:to>
      <xdr:col>14</xdr:col>
      <xdr:colOff>123825</xdr:colOff>
      <xdr:row>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20150" y="285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37</xdr:row>
      <xdr:rowOff>47625</xdr:rowOff>
    </xdr:from>
    <xdr:to>
      <xdr:col>13</xdr:col>
      <xdr:colOff>0</xdr:colOff>
      <xdr:row>53</xdr:row>
      <xdr:rowOff>0</xdr:rowOff>
    </xdr:to>
    <xdr:sp>
      <xdr:nvSpPr>
        <xdr:cNvPr id="3" name="Line 7"/>
        <xdr:cNvSpPr>
          <a:spLocks/>
        </xdr:cNvSpPr>
      </xdr:nvSpPr>
      <xdr:spPr>
        <a:xfrm>
          <a:off x="8934450" y="93249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0</xdr:rowOff>
    </xdr:from>
    <xdr:to>
      <xdr:col>12</xdr:col>
      <xdr:colOff>247650</xdr:colOff>
      <xdr:row>38</xdr:row>
      <xdr:rowOff>0</xdr:rowOff>
    </xdr:to>
    <xdr:sp>
      <xdr:nvSpPr>
        <xdr:cNvPr id="4" name="Line 9"/>
        <xdr:cNvSpPr>
          <a:spLocks/>
        </xdr:cNvSpPr>
      </xdr:nvSpPr>
      <xdr:spPr>
        <a:xfrm>
          <a:off x="8639175" y="9525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228600</xdr:colOff>
      <xdr:row>47</xdr:row>
      <xdr:rowOff>0</xdr:rowOff>
    </xdr:to>
    <xdr:sp>
      <xdr:nvSpPr>
        <xdr:cNvPr id="5" name="Line 9"/>
        <xdr:cNvSpPr>
          <a:spLocks/>
        </xdr:cNvSpPr>
      </xdr:nvSpPr>
      <xdr:spPr>
        <a:xfrm>
          <a:off x="8620125" y="11753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53</xdr:row>
      <xdr:rowOff>0</xdr:rowOff>
    </xdr:from>
    <xdr:to>
      <xdr:col>12</xdr:col>
      <xdr:colOff>257175</xdr:colOff>
      <xdr:row>53</xdr:row>
      <xdr:rowOff>0</xdr:rowOff>
    </xdr:to>
    <xdr:sp>
      <xdr:nvSpPr>
        <xdr:cNvPr id="6" name="Line 9"/>
        <xdr:cNvSpPr>
          <a:spLocks/>
        </xdr:cNvSpPr>
      </xdr:nvSpPr>
      <xdr:spPr>
        <a:xfrm>
          <a:off x="8648700" y="13239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47</xdr:row>
      <xdr:rowOff>0</xdr:rowOff>
    </xdr:from>
    <xdr:to>
      <xdr:col>14</xdr:col>
      <xdr:colOff>200025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858250" y="11753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53</xdr:row>
      <xdr:rowOff>0</xdr:rowOff>
    </xdr:from>
    <xdr:to>
      <xdr:col>14</xdr:col>
      <xdr:colOff>200025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877300" y="13239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53</xdr:row>
      <xdr:rowOff>0</xdr:rowOff>
    </xdr:to>
    <xdr:sp>
      <xdr:nvSpPr>
        <xdr:cNvPr id="9" name="Line 44"/>
        <xdr:cNvSpPr>
          <a:spLocks/>
        </xdr:cNvSpPr>
      </xdr:nvSpPr>
      <xdr:spPr>
        <a:xfrm flipH="1">
          <a:off x="9248775" y="117538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38</xdr:row>
      <xdr:rowOff>0</xdr:rowOff>
    </xdr:from>
    <xdr:to>
      <xdr:col>14</xdr:col>
      <xdr:colOff>161925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8867775" y="9525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46</xdr:row>
      <xdr:rowOff>209550</xdr:rowOff>
    </xdr:to>
    <xdr:sp>
      <xdr:nvSpPr>
        <xdr:cNvPr id="11" name="Line 44"/>
        <xdr:cNvSpPr>
          <a:spLocks/>
        </xdr:cNvSpPr>
      </xdr:nvSpPr>
      <xdr:spPr>
        <a:xfrm flipH="1">
          <a:off x="9248775" y="95250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228600</xdr:rowOff>
    </xdr:from>
    <xdr:to>
      <xdr:col>14</xdr:col>
      <xdr:colOff>0</xdr:colOff>
      <xdr:row>54</xdr:row>
      <xdr:rowOff>0</xdr:rowOff>
    </xdr:to>
    <xdr:sp>
      <xdr:nvSpPr>
        <xdr:cNvPr id="12" name="Line 44"/>
        <xdr:cNvSpPr>
          <a:spLocks/>
        </xdr:cNvSpPr>
      </xdr:nvSpPr>
      <xdr:spPr>
        <a:xfrm flipH="1">
          <a:off x="9248775" y="13220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0</xdr:rowOff>
    </xdr:from>
    <xdr:to>
      <xdr:col>12</xdr:col>
      <xdr:colOff>247650</xdr:colOff>
      <xdr:row>54</xdr:row>
      <xdr:rowOff>0</xdr:rowOff>
    </xdr:to>
    <xdr:sp>
      <xdr:nvSpPr>
        <xdr:cNvPr id="13" name="Line 9"/>
        <xdr:cNvSpPr>
          <a:spLocks/>
        </xdr:cNvSpPr>
      </xdr:nvSpPr>
      <xdr:spPr>
        <a:xfrm>
          <a:off x="8639175" y="13487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54</xdr:row>
      <xdr:rowOff>0</xdr:rowOff>
    </xdr:from>
    <xdr:to>
      <xdr:col>14</xdr:col>
      <xdr:colOff>66675</xdr:colOff>
      <xdr:row>54</xdr:row>
      <xdr:rowOff>0</xdr:rowOff>
    </xdr:to>
    <xdr:sp>
      <xdr:nvSpPr>
        <xdr:cNvPr id="14" name="Line 16"/>
        <xdr:cNvSpPr>
          <a:spLocks/>
        </xdr:cNvSpPr>
      </xdr:nvSpPr>
      <xdr:spPr>
        <a:xfrm>
          <a:off x="8877300" y="13487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657225</xdr:colOff>
      <xdr:row>1</xdr:row>
      <xdr:rowOff>266700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</xdr:row>
      <xdr:rowOff>180975</xdr:rowOff>
    </xdr:from>
    <xdr:to>
      <xdr:col>13</xdr:col>
      <xdr:colOff>0</xdr:colOff>
      <xdr:row>18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809625"/>
          <a:ext cx="40386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54</xdr:row>
      <xdr:rowOff>9525</xdr:rowOff>
    </xdr:from>
    <xdr:to>
      <xdr:col>14</xdr:col>
      <xdr:colOff>0</xdr:colOff>
      <xdr:row>55</xdr:row>
      <xdr:rowOff>38100</xdr:rowOff>
    </xdr:to>
    <xdr:sp>
      <xdr:nvSpPr>
        <xdr:cNvPr id="17" name="Line 114"/>
        <xdr:cNvSpPr>
          <a:spLocks/>
        </xdr:cNvSpPr>
      </xdr:nvSpPr>
      <xdr:spPr>
        <a:xfrm>
          <a:off x="9248775" y="13496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showGridLines="0" showZeros="0" tabSelected="1" workbookViewId="0" topLeftCell="A1">
      <selection activeCell="P48" sqref="P48"/>
    </sheetView>
  </sheetViews>
  <sheetFormatPr defaultColWidth="11.421875" defaultRowHeight="12.75"/>
  <cols>
    <col min="1" max="1" width="11.421875" style="1" customWidth="1"/>
    <col min="2" max="12" width="10.7109375" style="1" customWidth="1"/>
    <col min="13" max="15" width="4.7109375" style="1" customWidth="1"/>
    <col min="16" max="17" width="10.7109375" style="1" customWidth="1"/>
    <col min="18" max="18" width="5.7109375" style="1" customWidth="1"/>
    <col min="19" max="19" width="11.57421875" style="1" bestFit="1" customWidth="1"/>
    <col min="20" max="16384" width="11.421875" style="1" customWidth="1"/>
  </cols>
  <sheetData>
    <row r="1" spans="1:15" ht="24.75" customHeight="1">
      <c r="A1" s="195"/>
      <c r="B1" s="197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205"/>
      <c r="N1" s="205"/>
      <c r="O1" s="206"/>
    </row>
    <row r="2" spans="1:15" ht="24.75" customHeight="1">
      <c r="A2" s="196"/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07"/>
      <c r="N2" s="207"/>
      <c r="O2" s="208"/>
    </row>
    <row r="3" spans="1:15" ht="15" customHeight="1">
      <c r="A3" s="7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3"/>
      <c r="O3" s="141"/>
    </row>
    <row r="4" spans="1:15" ht="19.5" customHeight="1">
      <c r="A4" s="178" t="s">
        <v>2</v>
      </c>
      <c r="B4" s="2"/>
      <c r="C4" s="2"/>
      <c r="D4" s="2"/>
      <c r="E4" s="2"/>
      <c r="F4" s="2"/>
      <c r="G4" s="6"/>
      <c r="H4" s="3"/>
      <c r="I4" s="4"/>
      <c r="J4" s="5"/>
      <c r="K4" s="5"/>
      <c r="L4" s="5"/>
      <c r="M4" s="2"/>
      <c r="N4" s="6"/>
      <c r="O4" s="7"/>
    </row>
    <row r="5" spans="1:15" ht="19.5" customHeight="1">
      <c r="A5" s="8" t="s">
        <v>3</v>
      </c>
      <c r="B5" s="9"/>
      <c r="C5" s="2" t="s">
        <v>4</v>
      </c>
      <c r="D5" s="2" t="s">
        <v>5</v>
      </c>
      <c r="E5" s="2"/>
      <c r="F5" s="2"/>
      <c r="G5" s="6"/>
      <c r="H5" s="5"/>
      <c r="I5" s="5"/>
      <c r="J5" s="10"/>
      <c r="K5" s="5"/>
      <c r="L5" s="5"/>
      <c r="M5" s="11"/>
      <c r="N5" s="6"/>
      <c r="O5" s="7"/>
    </row>
    <row r="6" spans="1:15" ht="19.5" customHeight="1">
      <c r="A6" s="8" t="s">
        <v>6</v>
      </c>
      <c r="B6" s="12"/>
      <c r="C6" s="13" t="s">
        <v>7</v>
      </c>
      <c r="D6" s="2" t="s">
        <v>8</v>
      </c>
      <c r="E6" s="2"/>
      <c r="F6" s="2"/>
      <c r="G6" s="6"/>
      <c r="H6" s="5"/>
      <c r="I6" s="5"/>
      <c r="J6" s="14"/>
      <c r="K6" s="204"/>
      <c r="L6" s="204"/>
      <c r="M6" s="11"/>
      <c r="N6" s="6"/>
      <c r="O6" s="7"/>
    </row>
    <row r="7" spans="1:15" ht="19.5" customHeight="1">
      <c r="A7" s="8" t="s">
        <v>9</v>
      </c>
      <c r="B7" s="12"/>
      <c r="C7" s="2" t="s">
        <v>10</v>
      </c>
      <c r="D7" s="2" t="s">
        <v>11</v>
      </c>
      <c r="E7" s="2"/>
      <c r="F7" s="2"/>
      <c r="G7" s="6"/>
      <c r="H7" s="15"/>
      <c r="I7" s="15"/>
      <c r="J7" s="15"/>
      <c r="K7" s="15"/>
      <c r="L7" s="5"/>
      <c r="M7" s="11"/>
      <c r="N7" s="6"/>
      <c r="O7" s="7"/>
    </row>
    <row r="8" spans="1:15" ht="19.5" customHeight="1">
      <c r="A8" s="8" t="s">
        <v>12</v>
      </c>
      <c r="B8" s="2">
        <v>9.81</v>
      </c>
      <c r="C8" s="2" t="s">
        <v>13</v>
      </c>
      <c r="D8" s="2" t="s">
        <v>14</v>
      </c>
      <c r="E8" s="2"/>
      <c r="F8" s="2"/>
      <c r="G8" s="6"/>
      <c r="H8" s="3"/>
      <c r="I8" s="4"/>
      <c r="J8" s="5"/>
      <c r="K8" s="16"/>
      <c r="L8" s="5"/>
      <c r="M8" s="11"/>
      <c r="N8" s="11"/>
      <c r="O8" s="7"/>
    </row>
    <row r="9" spans="1:15" ht="19.5" customHeight="1">
      <c r="A9" s="8"/>
      <c r="B9" s="17">
        <v>1.31E-06</v>
      </c>
      <c r="C9" s="18" t="s">
        <v>15</v>
      </c>
      <c r="D9" s="2" t="s">
        <v>16</v>
      </c>
      <c r="E9" s="2"/>
      <c r="F9" s="2"/>
      <c r="G9" s="6"/>
      <c r="H9" s="5"/>
      <c r="I9" s="5"/>
      <c r="J9" s="19"/>
      <c r="K9" s="20"/>
      <c r="L9" s="5"/>
      <c r="M9" s="11"/>
      <c r="N9" s="6"/>
      <c r="O9" s="7"/>
    </row>
    <row r="10" spans="1:15" ht="15" customHeight="1">
      <c r="A10" s="8"/>
      <c r="B10" s="17"/>
      <c r="C10" s="18"/>
      <c r="D10" s="2"/>
      <c r="E10" s="2"/>
      <c r="F10" s="2"/>
      <c r="G10" s="6"/>
      <c r="H10" s="5"/>
      <c r="I10" s="5"/>
      <c r="J10" s="19"/>
      <c r="K10" s="20"/>
      <c r="L10" s="5"/>
      <c r="M10" s="11"/>
      <c r="N10" s="6"/>
      <c r="O10" s="7"/>
    </row>
    <row r="11" spans="1:15" ht="19.5" customHeight="1">
      <c r="A11" s="179" t="s">
        <v>17</v>
      </c>
      <c r="B11" s="17"/>
      <c r="C11" s="18"/>
      <c r="D11" s="2"/>
      <c r="E11" s="2"/>
      <c r="F11" s="2"/>
      <c r="G11" s="6"/>
      <c r="H11" s="5"/>
      <c r="I11" s="5"/>
      <c r="J11" s="19"/>
      <c r="K11" s="20"/>
      <c r="L11" s="5"/>
      <c r="M11" s="11"/>
      <c r="N11" s="21"/>
      <c r="O11" s="7"/>
    </row>
    <row r="12" spans="1:15" ht="19.5" customHeight="1">
      <c r="A12" s="179" t="s">
        <v>18</v>
      </c>
      <c r="B12" s="17"/>
      <c r="C12" s="18"/>
      <c r="D12" s="2"/>
      <c r="E12" s="5"/>
      <c r="F12" s="2"/>
      <c r="G12" s="6"/>
      <c r="H12" s="5"/>
      <c r="I12" s="5"/>
      <c r="J12" s="19"/>
      <c r="K12" s="20"/>
      <c r="L12" s="5"/>
      <c r="M12" s="11"/>
      <c r="N12" s="21"/>
      <c r="O12" s="7"/>
    </row>
    <row r="13" spans="1:19" ht="19.5" customHeight="1">
      <c r="A13" s="180" t="s">
        <v>19</v>
      </c>
      <c r="B13" s="17"/>
      <c r="D13" s="22" t="s">
        <v>20</v>
      </c>
      <c r="E13" s="23"/>
      <c r="F13" s="2" t="s">
        <v>21</v>
      </c>
      <c r="G13" s="6"/>
      <c r="H13" s="5"/>
      <c r="I13" s="5"/>
      <c r="J13" s="10"/>
      <c r="K13" s="20"/>
      <c r="L13" s="5"/>
      <c r="M13" s="11"/>
      <c r="N13" s="6"/>
      <c r="O13" s="7"/>
      <c r="Q13" s="24"/>
      <c r="S13" s="24"/>
    </row>
    <row r="14" spans="1:19" ht="19.5" customHeight="1">
      <c r="A14" s="180" t="s">
        <v>22</v>
      </c>
      <c r="B14" s="17"/>
      <c r="D14" s="25" t="s">
        <v>23</v>
      </c>
      <c r="E14" s="23"/>
      <c r="F14" s="2"/>
      <c r="G14" s="6"/>
      <c r="H14" s="5"/>
      <c r="I14" s="5"/>
      <c r="J14" s="10"/>
      <c r="K14" s="20"/>
      <c r="L14" s="5"/>
      <c r="M14" s="11"/>
      <c r="N14" s="6"/>
      <c r="O14" s="7"/>
      <c r="Q14" s="26"/>
      <c r="S14" s="24"/>
    </row>
    <row r="15" spans="1:19" ht="15" customHeight="1">
      <c r="A15" s="181"/>
      <c r="B15" s="56"/>
      <c r="D15" s="140"/>
      <c r="E15" s="177"/>
      <c r="F15" s="118"/>
      <c r="G15" s="6"/>
      <c r="H15" s="5"/>
      <c r="I15" s="5"/>
      <c r="J15" s="10"/>
      <c r="K15" s="20"/>
      <c r="L15" s="5"/>
      <c r="M15" s="11"/>
      <c r="N15" s="6"/>
      <c r="O15" s="7"/>
      <c r="Q15" s="26"/>
      <c r="S15" s="24"/>
    </row>
    <row r="16" spans="1:19" ht="19.5" customHeight="1">
      <c r="A16" s="211" t="s">
        <v>91</v>
      </c>
      <c r="B16" s="212"/>
      <c r="C16" s="212"/>
      <c r="D16" s="191" t="s">
        <v>88</v>
      </c>
      <c r="E16" s="183"/>
      <c r="F16" s="39" t="s">
        <v>21</v>
      </c>
      <c r="G16" s="6"/>
      <c r="H16" s="5"/>
      <c r="I16" s="5"/>
      <c r="J16" s="10"/>
      <c r="K16" s="20"/>
      <c r="L16" s="5"/>
      <c r="M16" s="11"/>
      <c r="N16" s="6"/>
      <c r="O16" s="7"/>
      <c r="Q16" s="26"/>
      <c r="S16" s="24"/>
    </row>
    <row r="17" spans="1:19" ht="15" customHeight="1">
      <c r="A17" s="182"/>
      <c r="B17" s="17"/>
      <c r="C17" s="25"/>
      <c r="D17" s="2"/>
      <c r="E17" s="2"/>
      <c r="F17" s="2"/>
      <c r="G17" s="6"/>
      <c r="H17" s="5"/>
      <c r="I17" s="5"/>
      <c r="J17" s="10"/>
      <c r="K17" s="20"/>
      <c r="L17" s="5"/>
      <c r="M17" s="11"/>
      <c r="N17" s="6"/>
      <c r="O17" s="7"/>
      <c r="Q17" s="26"/>
      <c r="S17" s="24"/>
    </row>
    <row r="18" spans="1:15" ht="19.5" customHeight="1">
      <c r="A18" s="179" t="s">
        <v>24</v>
      </c>
      <c r="B18" s="17"/>
      <c r="C18" s="18"/>
      <c r="D18" s="2"/>
      <c r="E18" s="2"/>
      <c r="F18" s="2"/>
      <c r="G18" s="6"/>
      <c r="H18" s="5"/>
      <c r="I18" s="5"/>
      <c r="J18" s="19"/>
      <c r="K18" s="20"/>
      <c r="L18" s="5"/>
      <c r="M18" s="11"/>
      <c r="N18" s="6"/>
      <c r="O18" s="7"/>
    </row>
    <row r="19" spans="1:19" ht="19.5" customHeight="1">
      <c r="A19" s="182" t="s">
        <v>25</v>
      </c>
      <c r="B19" s="17"/>
      <c r="C19" s="18"/>
      <c r="D19" s="2"/>
      <c r="E19" s="2"/>
      <c r="F19" s="2"/>
      <c r="G19" s="6"/>
      <c r="H19" s="5"/>
      <c r="I19" s="5"/>
      <c r="J19" s="19"/>
      <c r="K19" s="20"/>
      <c r="L19" s="5"/>
      <c r="M19" s="11"/>
      <c r="N19" s="21"/>
      <c r="O19" s="27"/>
      <c r="Q19" s="24"/>
      <c r="S19" s="24"/>
    </row>
    <row r="20" spans="1:19" ht="19.5" customHeight="1">
      <c r="A20" s="179" t="s">
        <v>26</v>
      </c>
      <c r="B20" s="28"/>
      <c r="C20" s="29">
        <f>IF(OR(A23&lt;=0,B6&lt;=0),0,POWER(A23/2000,2)*PI()-POWER(A23/2000,2)/2*(2*(ATAN(E13/2/(A23/2000-(A23/1000-B23)))*180/PI()+(180-(180-ATAN(1/E14)*180/PI()-(90-ATAN(E13/2/(A23/2000-(A23/1000-B23)))*180/PI()))-ASIN((A23/2000-(A23/1000-B23))/COS(ATAN(E13/2/(A23/2000-(A23/1000-B23))))/(A23/2000)*SIN((180-ATAN(1/E14)*180/PI()-(90-ATAN(E13/2/(A23/2000-(A23/1000-B23)))*180/PI()))*PI()/180))*180/PI()))*PI()/180-SIN(2*(ATAN(E13/2/(A23/2000-(A23/1000-B23)))*180/PI()+(180-(180-ATAN(1/E14)*180/PI()-(90-ATAN(E13/2/(A23/2000-(A23/1000-B23)))*180/PI()))-ASIN((A23/2000-(A23/1000-B23))/COS(ATAN(E13/2/(A23/2000-(A23/1000-B23))))/(A23/2000)*SIN((180-ATAN(1/E14)*180/PI()-(90-ATAN(E13/2/(A23/2000-(A23/1000-B23)))*180/PI()))*PI()/180))*180/PI()))*PI()/180)))</f>
        <v>0</v>
      </c>
      <c r="D20" s="30">
        <f>IF(OR(A23&lt;=0,B6&lt;=0),0,2*A23/2000*PI()-A23/2000*2*(ATAN(E13/2/(A23/2000-(A23/1000-B23)))*180/PI()+(180-(180-ATAN(1/E14)*180/PI()-(90-ATAN(E13/2/(A23/2000-(A23/1000-B23)))*180/PI()))-ASIN((A23/2000-(A23/1000-B23))/COS(ATAN(E13/2/(A23/2000-(A23/1000-B23))))/(A23/2000)*SIN((180-ATAN(1/E14)*180/PI()-(90-ATAN(E13/2/(A23/2000-(A23/1000-B23)))*180/PI()))*PI()/180))*180/PI()))*PI()/180)</f>
        <v>0</v>
      </c>
      <c r="E20" s="2"/>
      <c r="F20" s="2"/>
      <c r="G20" s="6"/>
      <c r="H20" s="6"/>
      <c r="I20" s="194" t="s">
        <v>27</v>
      </c>
      <c r="J20" s="194"/>
      <c r="K20" s="194"/>
      <c r="L20" s="2"/>
      <c r="M20" s="11"/>
      <c r="N20" s="21"/>
      <c r="O20" s="27"/>
      <c r="P20" s="40"/>
      <c r="Q20" s="26"/>
      <c r="S20" s="24"/>
    </row>
    <row r="21" spans="1:19" ht="19.5" customHeight="1">
      <c r="A21" s="31" t="s">
        <v>28</v>
      </c>
      <c r="B21" s="32" t="s">
        <v>29</v>
      </c>
      <c r="C21" s="132" t="s">
        <v>30</v>
      </c>
      <c r="D21" s="32" t="s">
        <v>31</v>
      </c>
      <c r="E21" s="32" t="s">
        <v>32</v>
      </c>
      <c r="F21" s="134" t="s">
        <v>83</v>
      </c>
      <c r="G21" s="130"/>
      <c r="H21" s="130"/>
      <c r="I21" s="33" t="s">
        <v>33</v>
      </c>
      <c r="J21" s="34"/>
      <c r="K21" s="35">
        <f>IF(B27&lt;=0,0,$B$27/2000)</f>
        <v>0</v>
      </c>
      <c r="L21" s="2" t="s">
        <v>21</v>
      </c>
      <c r="M21" s="11"/>
      <c r="N21" s="21"/>
      <c r="O21" s="27"/>
      <c r="P21" s="40"/>
      <c r="Q21" s="26"/>
      <c r="S21" s="26"/>
    </row>
    <row r="22" spans="1:19" ht="19.5" customHeight="1">
      <c r="A22" s="36" t="s">
        <v>10</v>
      </c>
      <c r="B22" s="37" t="s">
        <v>21</v>
      </c>
      <c r="C22" s="133" t="s">
        <v>82</v>
      </c>
      <c r="D22" s="38" t="s">
        <v>21</v>
      </c>
      <c r="E22" s="37" t="s">
        <v>21</v>
      </c>
      <c r="F22" s="135" t="s">
        <v>82</v>
      </c>
      <c r="G22" s="130"/>
      <c r="H22" s="130"/>
      <c r="I22" s="2" t="s">
        <v>84</v>
      </c>
      <c r="J22" s="2"/>
      <c r="K22" s="48">
        <f>IF($K$21&lt;=0,0,B27/1000-K23)</f>
        <v>0</v>
      </c>
      <c r="L22" s="49" t="s">
        <v>37</v>
      </c>
      <c r="M22" s="11"/>
      <c r="N22" s="6"/>
      <c r="O22" s="7"/>
      <c r="P22" s="40"/>
      <c r="Q22" s="41"/>
      <c r="S22" s="41"/>
    </row>
    <row r="23" spans="1:19" ht="19.5" customHeight="1">
      <c r="A23" s="131"/>
      <c r="B23" s="99">
        <f>IF(A23&lt;=0,0,IF(E16&lt;=0,2*A23/2000-(A23/2000-A23/2000*COS(ASIN(E13/(2*A23/2000)))),A23/1000-E16))</f>
        <v>0</v>
      </c>
      <c r="C23" s="136">
        <f>IF(OR(A23&lt;=0,B6&lt;=0),0,($E$13+(A23/2000)*SIN((180-(180-ATAN(1/$E$14)*180/PI()-(90-ATAN($E$13/2/(A23/2000-(A23/1000-B23)))*180/PI()))-ASIN((A23/2000-(A23/1000-B23))/COS(ATAN($E$13/2/(A23/2000-(A23/1000-B23))))/(A23/2000)*SIN((180-ATAN(1/$E$14)*180/PI()-(90-ATAN($E$13/2/(A23/2000-(A23/1000-B23)))*180/PI()))*PI()/180))*180/PI())*PI()/180)/SIN((180-ATAN(1/$E$14)*180/PI()-(90-ATAN($E$13/2/(A23/2000-(A23/1000-B23)))*180/PI()))*PI()/180)*COS(ATAN(1/$E$14)))*(A23/2000)*SIN((180-(180-ATAN(1/$E$14)*180/PI()-(90-ATAN($E$13/2/(A23/2000-(A23/1000-B23)))*180/PI()))-ASIN((A23/2000-(A23/1000-B23))/COS(ATAN($E$13/2/(A23/2000-(A23/1000-B23))))/(A23/2000)*SIN((180-ATAN(1/$E$14)*180/PI()-(90-ATAN($E$13/2/(A23/2000-(A23/1000-B23)))*180/PI()))*PI()/180))*180/PI())*PI()/180)/SIN((180-ATAN(1/$E$14)*180/PI()-(90-ATAN($E$13/2/(A23/2000-(A23/1000-B23)))*180/PI()))*PI()/180)*SIN(ATAN(1/$E$14))+C20)</f>
        <v>0</v>
      </c>
      <c r="D23" s="59">
        <f>IF(OR(A23&lt;=0,$B$6&lt;=0),0,2*SQRT(POWER((A23/2000)*SIN((180-(180-ATAN(1/E14)*180/PI()-(90-ATAN(E13/2/(A23/2000-(A23/1000-B23)))*180/PI()))-ASIN((A23/2000-(A23/1000-B23))/COS(ATAN(E13/2/(A23/2000-(A23/1000-B23))))/(A23/2000)*SIN((180-ATAN(1/E14)*180/PI()-(90-ATAN(E13/2/(A23/2000-(A23/1000-B23)))*180/PI()))*PI()/180))*180/PI())*PI()/180)/SIN((180-ATAN(1/E14)*180/PI()-(90-ATAN(E13/2/(A23/2000-(A23/1000-B23)))*180/PI()))*PI()/180)*SIN(ATAN(1/E14)*180/PI()*PI()/180),2)+POWER((A23/2000)*SIN((180-(180-ATAN(1/E14)*180/PI()-(90-ATAN(E13/2/(A23/2000-(A23/1000-B23)))*180/PI()))-ASIN((A23/2000-(A23/1000-B23))/COS(ATAN(E13/2/(A23/2000-(A23/1000-B23))))/(A23/2000)*SIN((180-ATAN(1/E14)*180/PI()-(90-ATAN(E13/2/(A23/2000-(A23/1000-B23)))*180/PI()))*PI()/180))*180/PI())*PI()/180)/SIN((180-ATAN(1/E14)*180/PI()-(90-ATAN(E13/2/(A23/2000-(A23/1000-B23)))*180/PI()))*PI()/180)*COS(ATAN(1/E14)*180/PI()*PI()/180),2))+E13+D20)</f>
        <v>0</v>
      </c>
      <c r="E23" s="59">
        <f>IF(ISERROR(C23/D23),0,C23/D23)</f>
        <v>0</v>
      </c>
      <c r="F23" s="137">
        <f>IF(OR(A23&lt;=0,B6&lt;=0),0,B5/(-2*LOG(2.51*$B$9/(4*E23*SQRT(8*$B$8*E23*$B$6/1000))+$B$7/(1000*(14.84*E23)))*SQRT(8*$B$8*E23*$B$6/1000)))</f>
        <v>0</v>
      </c>
      <c r="G23" s="130"/>
      <c r="H23" s="130"/>
      <c r="I23" s="33" t="s">
        <v>35</v>
      </c>
      <c r="J23" s="34"/>
      <c r="K23" s="69">
        <f>IF(B27&lt;=0,0,IF(E16&lt;=0,2*B27/2000-(B27/2000-B27/2000*COS(ASIN(K26/(2*B27/2000)))),B27/1000-E16))</f>
        <v>0</v>
      </c>
      <c r="L23" s="33" t="s">
        <v>21</v>
      </c>
      <c r="M23" s="11"/>
      <c r="N23" s="6"/>
      <c r="O23" s="27"/>
      <c r="P23" s="60"/>
      <c r="Q23" s="24"/>
      <c r="S23" s="24"/>
    </row>
    <row r="24" spans="1:19" ht="19.5" customHeight="1">
      <c r="A24" s="42"/>
      <c r="B24" s="103">
        <f>IF(A24&lt;=0,0,IF(E16&lt;=0,2*A24/2000-(A24/2000-A24/2000*COS(ASIN(E13/(2*A24/2000)))),A24/1000-E16))</f>
        <v>0</v>
      </c>
      <c r="C24" s="138">
        <f>IF(OR(A24&lt;=0,B6&lt;=0),0,($E$13+(A24/2000)*SIN((180-(180-ATAN(1/$E$14)*180/PI()-(90-ATAN($E$13/2/(A24/2000-(A24/1000-B24)))*180/PI()))-ASIN((A24/2000-(A24/1000-B24))/COS(ATAN($E$13/2/(A24/2000-(A24/1000-B24))))/(A24/2000)*SIN((180-ATAN(1/$E$14)*180/PI()-(90-ATAN($E$13/2/(A24/2000-(A24/1000-B24)))*180/PI()))*PI()/180))*180/PI())*PI()/180)/SIN((180-ATAN(1/$E$14)*180/PI()-(90-ATAN($E$13/2/(A24/2000-(A24/1000-B24)))*180/PI()))*PI()/180)*COS(ATAN(1/$E$14)))*(A24/2000)*SIN((180-(180-ATAN(1/$E$14)*180/PI()-(90-ATAN($E$13/2/(A24/2000-(A24/1000-B24)))*180/PI()))-ASIN((A24/2000-(A24/1000-B24))/COS(ATAN($E$13/2/(A24/2000-(A24/1000-B24))))/(A24/2000)*SIN((180-ATAN(1/$E$14)*180/PI()-(90-ATAN($E$13/2/(A24/2000-(A24/1000-B24)))*180/PI()))*PI()/180))*180/PI())*PI()/180)/SIN((180-ATAN(1/$E$14)*180/PI()-(90-ATAN($E$13/2/(A24/2000-(A24/1000-B24)))*180/PI()))*PI()/180)*SIN(ATAN(1/$E$14))+C25)</f>
        <v>0</v>
      </c>
      <c r="D24" s="43">
        <f>IF(OR(A24&lt;=0,$B$6&lt;=0),0,2*SQRT(POWER((A24/2000)*SIN((180-(180-ATAN(1/E14)*180/PI()-(90-ATAN(E13/2/(A24/2000-(A24/1000-B24)))*180/PI()))-ASIN((A24/2000-(A24/1000-B24))/COS(ATAN(E13/2/(A24/2000-(A24/1000-B24))))/(A24/2000)*SIN((180-ATAN(1/E14)*180/PI()-(90-ATAN(E13/2/(A24/2000-(A24/1000-B24)))*180/PI()))*PI()/180))*180/PI())*PI()/180)/SIN((180-ATAN(1/E14)*180/PI()-(90-ATAN(E13/2/(A24/2000-(A24/1000-B24)))*180/PI()))*PI()/180)*SIN(ATAN(1/E14)*180/PI()*PI()/180),2)+POWER((A24/2000)*SIN((180-(180-ATAN(1/E14)*180/PI()-(90-ATAN(E13/2/(A24/2000-(A24/1000-B24)))*180/PI()))-ASIN((A24/2000-(A24/1000-B24))/COS(ATAN(E13/2/(A24/2000-(A24/1000-B24))))/(A24/2000)*SIN((180-ATAN(1/E14)*180/PI()-(90-ATAN(E13/2/(A24/2000-(A24/1000-B24)))*180/PI()))*PI()/180))*180/PI())*PI()/180)/SIN((180-ATAN(1/E14)*180/PI()-(90-ATAN(E13/2/(A24/2000-(A24/1000-B24)))*180/PI()))*PI()/180)*COS(ATAN(1/E14)*180/PI()*PI()/180),2))+E13+D25)</f>
        <v>0</v>
      </c>
      <c r="E24" s="43">
        <f>IF(ISERROR(C24/D24),0,C24/D24)</f>
        <v>0</v>
      </c>
      <c r="F24" s="139">
        <f>IF(OR(A24&lt;=0,B6&lt;=0),0,B5/(-2*LOG(2.51*$B$9/(4*E24*SQRT(8*$B$8*E24*$B$6/1000))+$B$7/(1000*(14.84*E24)))*SQRT(8*$B$8*E24*$B$6/1000)))</f>
        <v>0</v>
      </c>
      <c r="G24" s="130"/>
      <c r="H24" s="130"/>
      <c r="I24" s="6"/>
      <c r="J24" s="6"/>
      <c r="K24" s="6"/>
      <c r="L24" s="6"/>
      <c r="M24" s="11"/>
      <c r="N24" s="6"/>
      <c r="O24" s="27"/>
      <c r="P24" s="54"/>
      <c r="Q24" s="24"/>
      <c r="S24" s="24"/>
    </row>
    <row r="25" spans="1:19" ht="19.5" customHeight="1">
      <c r="A25" s="44"/>
      <c r="B25" s="45"/>
      <c r="C25" s="30">
        <f>IF(OR(A24&lt;=0,B6&lt;=0),0,POWER(A24/2000,2)*PI()-POWER(A24/2000,2)/2*(2*(ATAN(E13/2/(A24/2000-(A24/1000-B24)))*180/PI()+(180-(180-ATAN(1/E14)*180/PI()-(90-ATAN(E13/2/(A24/2000-(A24/1000-B24)))*180/PI()))-ASIN((A24/2000-(A24/1000-B24))/COS(ATAN(E13/2/(A24/2000-(A24/1000-B24))))/(A24/2000)*SIN((180-ATAN(1/E14)*180/PI()-(90-ATAN(E13/2/(A24/2000-(A24/1000-B24)))*180/PI()))*PI()/180))*180/PI()))*PI()/180-SIN(2*(ATAN(E13/2/(A24/2000-(A24/1000-B24)))*180/PI()+(180-(180-ATAN(1/E14)*180/PI()-(90-ATAN(E13/2/(A24/2000-(A24/1000-B24)))*180/PI()))-ASIN((A24/2000-(A24/1000-B24))/COS(ATAN(E13/2/(A24/2000-(A24/1000-B24))))/(A24/2000)*SIN((180-ATAN(1/E14)*180/PI()-(90-ATAN(E13/2/(A24/2000-(A24/1000-B24)))*180/PI()))*PI()/180))*180/PI()))*PI()/180)))</f>
        <v>0</v>
      </c>
      <c r="D25" s="30">
        <f>IF(OR(A24&lt;=0,B6&lt;=0),0,2*A24/2000*PI()-A24/2000*2*(ATAN(E13/2/(A24/2000-(A24/1000-B24)))*180/PI()+(180-(180-ATAN(1/E14)*180/PI()-(90-ATAN(E13/2/(A24/2000-(A24/1000-B24)))*180/PI()))-ASIN((A24/2000-(A24/1000-B24))/COS(ATAN(E13/2/(A24/2000-(A24/1000-B24))))/(A24/2000)*SIN((180-ATAN(1/E14)*180/PI()-(90-ATAN(E13/2/(A24/2000-(A24/1000-B24)))*180/PI()))*PI()/180))*180/PI()))*PI()/180)</f>
        <v>0</v>
      </c>
      <c r="E25" s="11"/>
      <c r="F25" s="2"/>
      <c r="G25" s="130"/>
      <c r="H25" s="130"/>
      <c r="I25" s="194" t="s">
        <v>36</v>
      </c>
      <c r="J25" s="194"/>
      <c r="K25" s="194"/>
      <c r="L25" s="6"/>
      <c r="M25" s="11"/>
      <c r="N25" s="6"/>
      <c r="O25" s="7"/>
      <c r="P25" s="40"/>
      <c r="Q25" s="24"/>
      <c r="S25" s="24"/>
    </row>
    <row r="26" spans="1:19" ht="19.5" customHeight="1">
      <c r="A26" s="46" t="s">
        <v>17</v>
      </c>
      <c r="B26" s="47"/>
      <c r="C26" s="2"/>
      <c r="D26" s="2"/>
      <c r="E26" s="2"/>
      <c r="F26" s="2"/>
      <c r="G26" s="130"/>
      <c r="H26" s="130"/>
      <c r="I26" s="53" t="s">
        <v>20</v>
      </c>
      <c r="J26" s="54"/>
      <c r="K26" s="48">
        <f>IF($B$27&lt;=0,0,E13)</f>
        <v>0</v>
      </c>
      <c r="L26" s="49" t="s">
        <v>21</v>
      </c>
      <c r="M26" s="2"/>
      <c r="N26" s="21"/>
      <c r="O26" s="27"/>
      <c r="P26" s="60"/>
      <c r="Q26" s="24"/>
      <c r="S26" s="24"/>
    </row>
    <row r="27" spans="1:19" ht="19.5" customHeight="1">
      <c r="A27" s="50" t="s">
        <v>28</v>
      </c>
      <c r="B27" s="51"/>
      <c r="C27" s="2" t="s">
        <v>10</v>
      </c>
      <c r="D27" s="52" t="s">
        <v>38</v>
      </c>
      <c r="E27" s="2"/>
      <c r="F27" s="2"/>
      <c r="G27" s="130"/>
      <c r="H27" s="130"/>
      <c r="I27" s="33" t="s">
        <v>90</v>
      </c>
      <c r="J27" s="6"/>
      <c r="K27" s="69">
        <f>IF(OR(B27&lt;=0,K26&lt;=0),0,2*$K$21*SIN(2*ACOS(1-($K$22+$K$33)/$K$21)*180/PI()/2*PI()/180))</f>
        <v>0</v>
      </c>
      <c r="L27" s="33" t="s">
        <v>21</v>
      </c>
      <c r="M27" s="53"/>
      <c r="N27" s="55"/>
      <c r="O27" s="27"/>
      <c r="P27" s="40"/>
      <c r="Q27" s="24"/>
      <c r="S27" s="24"/>
    </row>
    <row r="28" spans="1:19" ht="15" customHeight="1">
      <c r="A28" s="8"/>
      <c r="B28" s="56"/>
      <c r="C28" s="2"/>
      <c r="D28" s="2"/>
      <c r="E28" s="2"/>
      <c r="F28" s="17"/>
      <c r="G28" s="130"/>
      <c r="H28" s="130"/>
      <c r="I28" s="6"/>
      <c r="J28" s="6"/>
      <c r="K28" s="6"/>
      <c r="L28" s="6"/>
      <c r="M28" s="2"/>
      <c r="N28" s="21"/>
      <c r="O28" s="27"/>
      <c r="P28" s="40"/>
      <c r="Q28" s="58"/>
      <c r="S28" s="58"/>
    </row>
    <row r="29" spans="1:19" ht="19.5" customHeight="1">
      <c r="A29" s="8" t="s">
        <v>39</v>
      </c>
      <c r="B29" s="69">
        <f>IF(OR(B27&lt;=0,B6&lt;=0),0,POWER(K21,2)*PI()-POWER(K21,2)/2*(2*ACOS(1-($K$22+$K$33)/$K$21)-SIN(2*ACOS(1-($K$22+$K$33)/$K$21)))+(K26+K27)/2*K33)</f>
        <v>0</v>
      </c>
      <c r="C29" s="2" t="s">
        <v>34</v>
      </c>
      <c r="D29" s="2" t="s">
        <v>40</v>
      </c>
      <c r="E29" s="2"/>
      <c r="F29" s="2"/>
      <c r="G29" s="6"/>
      <c r="H29" s="6"/>
      <c r="I29" s="194" t="s">
        <v>41</v>
      </c>
      <c r="J29" s="194"/>
      <c r="K29" s="194"/>
      <c r="L29" s="6"/>
      <c r="M29" s="11"/>
      <c r="N29" s="6"/>
      <c r="O29" s="7"/>
      <c r="P29" s="40"/>
      <c r="Q29" s="61"/>
      <c r="R29" s="62"/>
      <c r="S29" s="61"/>
    </row>
    <row r="30" spans="1:19" ht="19.5" customHeight="1">
      <c r="A30" s="8" t="s">
        <v>42</v>
      </c>
      <c r="B30" s="59">
        <f>IF(OR(B27&lt;=0,B6&lt;=0),0,2*SQRT(POWER(K32,2)+POWER(K33,2))+K26+2*K21*PI()-K21*2*ACOS(1-(K21*SIN((180-(180-ATAN(1/$K$30)*180/PI()-(90-ATAN((K26/2)/(K21-K22))*180/PI()))-ASIN((K21-K22)/COS(ATAN((K26/2)/(K21-K22))*180/PI()*PI()/180)/K21*SIN((180-ATAN(1/$K$30)*180/PI()-(90-ATAN((K26/2)/(K21-K22))*180/PI()))*PI()/180))*180/PI())*PI()/180)/SIN((180-ATAN(1/$K$30)*180/PI()-(90-ATAN((K26/2)/(K21-K22))*180/PI()))*PI()/180)*SIN(ATAN(1/$K$30))+K22)/K21)*180/PI()*PI()/180)</f>
        <v>0</v>
      </c>
      <c r="C30" s="2" t="s">
        <v>21</v>
      </c>
      <c r="D30" s="2" t="s">
        <v>43</v>
      </c>
      <c r="E30" s="2"/>
      <c r="F30" s="2"/>
      <c r="G30" s="130"/>
      <c r="H30" s="130"/>
      <c r="I30" s="2" t="s">
        <v>44</v>
      </c>
      <c r="J30" s="63" t="s">
        <v>45</v>
      </c>
      <c r="K30" s="64">
        <f>IF(B27&lt;=0,0,E14)</f>
        <v>0</v>
      </c>
      <c r="L30" s="53" t="s">
        <v>21</v>
      </c>
      <c r="M30" s="2"/>
      <c r="N30" s="6"/>
      <c r="O30" s="65"/>
      <c r="P30" s="54"/>
      <c r="Q30" s="66"/>
      <c r="R30" s="67"/>
      <c r="S30" s="66"/>
    </row>
    <row r="31" spans="1:19" ht="19.5" customHeight="1">
      <c r="A31" s="8"/>
      <c r="B31" s="11"/>
      <c r="C31" s="2"/>
      <c r="D31" s="2"/>
      <c r="E31" s="2"/>
      <c r="F31" s="2"/>
      <c r="G31" s="130"/>
      <c r="H31" s="130"/>
      <c r="I31" s="129" t="s">
        <v>49</v>
      </c>
      <c r="J31" s="129"/>
      <c r="K31" s="129"/>
      <c r="L31" s="6"/>
      <c r="M31" s="2"/>
      <c r="N31" s="6"/>
      <c r="O31" s="65"/>
      <c r="P31" s="40"/>
      <c r="Q31" s="24"/>
      <c r="S31" s="24"/>
    </row>
    <row r="32" spans="1:19" ht="19.5" customHeight="1">
      <c r="A32" s="68" t="s">
        <v>46</v>
      </c>
      <c r="B32" s="216">
        <f>IF(OR(B27&lt;=0,B6&lt;=0),0,-2*LOG(2.51*$B$9/(4*B29/B30*SQRT(8*$B$8*B29/B30*$B$6/1000))+$B$7/(1000*(14.84*B29/B30)))*SQRT(8*$B$8*B29/B30*$B$6/1000))</f>
        <v>0</v>
      </c>
      <c r="C32" s="5" t="s">
        <v>47</v>
      </c>
      <c r="D32" s="70" t="s">
        <v>48</v>
      </c>
      <c r="E32" s="2"/>
      <c r="F32" s="2"/>
      <c r="G32" s="130"/>
      <c r="H32" s="130"/>
      <c r="I32" s="71" t="s">
        <v>81</v>
      </c>
      <c r="J32" s="71"/>
      <c r="K32" s="69">
        <f>IF(OR(K26&lt;=0,B27&lt;=0),0,(K21*SIN((180-(180-ATAN(1/$K$30)*180/PI()-(90-ATAN((K26/2)/(K21-K22))*180/PI()))-ASIN((K21-K22)/COS(ATAN((K26/2)/(K21-K22))*180/PI()*PI()/180)/K21*SIN((180-ATAN(1/$K$30)*180/PI()-(90-ATAN((K26/2)/(K21-K22))*180/PI()))*PI()/180))*180/PI())*PI()/180)/SIN((180-ATAN(1/$K$30)*180/PI()-(90-ATAN((K26/2)/(K21-K22))*180/PI()))*PI()/180))*COS(ATAN(1/$K$30)))</f>
        <v>0</v>
      </c>
      <c r="L32" s="53" t="s">
        <v>21</v>
      </c>
      <c r="M32" s="2"/>
      <c r="N32" s="6"/>
      <c r="O32" s="65"/>
      <c r="P32" s="60"/>
      <c r="Q32" s="24"/>
      <c r="S32" s="24"/>
    </row>
    <row r="33" spans="1:19" ht="19.5" customHeight="1">
      <c r="A33" s="68" t="s">
        <v>50</v>
      </c>
      <c r="B33" s="217">
        <f>B32*B29</f>
        <v>0</v>
      </c>
      <c r="C33" s="2" t="s">
        <v>4</v>
      </c>
      <c r="D33" s="70" t="s">
        <v>51</v>
      </c>
      <c r="E33" s="2"/>
      <c r="F33" s="2"/>
      <c r="G33" s="130"/>
      <c r="H33" s="130"/>
      <c r="I33" s="2" t="s">
        <v>52</v>
      </c>
      <c r="J33" s="2"/>
      <c r="K33" s="69">
        <f>IF(OR(K26&lt;=0,B27&lt;=0),0,K21*SIN((180-(180-ATAN(1/$K$30)*180/PI()-(90-ATAN((K26/2)/(K21-K22))*180/PI()))-ASIN((K21-K22)/COS(ATAN((K26/2)/(K21-K22))*180/PI()*PI()/180)/K21*SIN((180-ATAN(1/$K$30)*180/PI()-(90-ATAN((K26/2)/(K21-K22))*180/PI()))*PI()/180))*180/PI())*PI()/180)/SIN((180-ATAN(1/$K$30)*180/PI()-(90-ATAN((K26/2)/(K21-K22))*180/PI()))*PI()/180)*SIN(ATAN(1/$K$30)))</f>
        <v>0</v>
      </c>
      <c r="L33" s="53" t="s">
        <v>21</v>
      </c>
      <c r="M33" s="2"/>
      <c r="N33" s="6"/>
      <c r="O33" s="65"/>
      <c r="P33" s="40"/>
      <c r="Q33" s="26"/>
      <c r="S33" s="26"/>
    </row>
    <row r="34" spans="1:19" ht="15" customHeight="1">
      <c r="A34" s="72"/>
      <c r="B34" s="6"/>
      <c r="C34" s="6"/>
      <c r="D34" s="6"/>
      <c r="E34" s="6"/>
      <c r="F34" s="6"/>
      <c r="G34" s="2"/>
      <c r="H34" s="6"/>
      <c r="I34" s="6"/>
      <c r="J34" s="6"/>
      <c r="K34" s="6"/>
      <c r="L34" s="6"/>
      <c r="M34" s="2"/>
      <c r="N34" s="6"/>
      <c r="O34" s="65"/>
      <c r="P34" s="40"/>
      <c r="Q34" s="26"/>
      <c r="S34" s="26"/>
    </row>
    <row r="35" spans="1:19" ht="19.5" customHeight="1">
      <c r="A35" s="209" t="s">
        <v>86</v>
      </c>
      <c r="B35" s="158" t="s">
        <v>53</v>
      </c>
      <c r="C35" s="159"/>
      <c r="D35" s="159"/>
      <c r="E35" s="159"/>
      <c r="F35" s="159"/>
      <c r="G35" s="159"/>
      <c r="H35" s="159"/>
      <c r="I35" s="160"/>
      <c r="J35" s="160"/>
      <c r="K35" s="160"/>
      <c r="L35" s="161"/>
      <c r="M35" s="2"/>
      <c r="N35" s="6"/>
      <c r="O35" s="7"/>
      <c r="P35" s="40"/>
      <c r="Q35" s="24"/>
      <c r="S35" s="24"/>
    </row>
    <row r="36" spans="1:19" ht="45" customHeight="1">
      <c r="A36" s="210"/>
      <c r="B36" s="154" t="s">
        <v>54</v>
      </c>
      <c r="C36" s="155" t="s">
        <v>55</v>
      </c>
      <c r="D36" s="155" t="s">
        <v>56</v>
      </c>
      <c r="E36" s="155" t="s">
        <v>57</v>
      </c>
      <c r="F36" s="155" t="s">
        <v>58</v>
      </c>
      <c r="G36" s="156" t="s">
        <v>59</v>
      </c>
      <c r="H36" s="155" t="s">
        <v>60</v>
      </c>
      <c r="I36" s="155" t="s">
        <v>61</v>
      </c>
      <c r="J36" s="155" t="s">
        <v>62</v>
      </c>
      <c r="K36" s="155" t="s">
        <v>63</v>
      </c>
      <c r="L36" s="157" t="s">
        <v>64</v>
      </c>
      <c r="M36" s="2"/>
      <c r="N36" s="6"/>
      <c r="O36" s="7"/>
      <c r="P36" s="40"/>
      <c r="Q36" s="24"/>
      <c r="S36" s="24"/>
    </row>
    <row r="37" spans="1:19" ht="19.5" customHeight="1">
      <c r="A37" s="174" t="s">
        <v>85</v>
      </c>
      <c r="B37" s="151" t="s">
        <v>65</v>
      </c>
      <c r="C37" s="73" t="s">
        <v>66</v>
      </c>
      <c r="D37" s="73" t="s">
        <v>42</v>
      </c>
      <c r="E37" s="73" t="s">
        <v>67</v>
      </c>
      <c r="F37" s="73" t="s">
        <v>68</v>
      </c>
      <c r="G37" s="37" t="s">
        <v>69</v>
      </c>
      <c r="H37" s="73" t="s">
        <v>70</v>
      </c>
      <c r="I37" s="73" t="s">
        <v>71</v>
      </c>
      <c r="J37" s="37" t="s">
        <v>72</v>
      </c>
      <c r="K37" s="37" t="s">
        <v>73</v>
      </c>
      <c r="L37" s="74" t="s">
        <v>74</v>
      </c>
      <c r="M37" s="203" t="s">
        <v>75</v>
      </c>
      <c r="N37" s="203"/>
      <c r="O37" s="65"/>
      <c r="P37" s="40"/>
      <c r="Q37" s="24"/>
      <c r="S37" s="24"/>
    </row>
    <row r="38" spans="1:17" ht="19.5" customHeight="1">
      <c r="A38" s="175" t="s">
        <v>21</v>
      </c>
      <c r="B38" s="152" t="s">
        <v>21</v>
      </c>
      <c r="C38" s="75" t="s">
        <v>34</v>
      </c>
      <c r="D38" s="75" t="s">
        <v>21</v>
      </c>
      <c r="E38" s="75" t="s">
        <v>21</v>
      </c>
      <c r="F38" s="75" t="s">
        <v>47</v>
      </c>
      <c r="G38" s="75" t="s">
        <v>4</v>
      </c>
      <c r="H38" s="75" t="s">
        <v>76</v>
      </c>
      <c r="I38" s="75" t="s">
        <v>21</v>
      </c>
      <c r="J38" s="75" t="s">
        <v>76</v>
      </c>
      <c r="K38" s="75" t="s">
        <v>21</v>
      </c>
      <c r="L38" s="153" t="s">
        <v>77</v>
      </c>
      <c r="M38" s="2"/>
      <c r="N38" s="76"/>
      <c r="O38" s="7"/>
      <c r="Q38" s="41"/>
    </row>
    <row r="39" spans="1:19" ht="19.5" customHeight="1">
      <c r="A39" s="169">
        <f aca="true" t="shared" si="0" ref="A39:A52">B39+$A$54</f>
        <v>0</v>
      </c>
      <c r="B39" s="162">
        <f aca="true" t="shared" si="1" ref="B39:B45">IF($B$53&lt;=0,0,($K$23-$K$33)/9)+B40</f>
        <v>0</v>
      </c>
      <c r="C39" s="77">
        <f aca="true" t="shared" si="2" ref="C39:C46">IF(AND($B$27&lt;=0,$K$26&lt;=0),0,POWER($K$21,2)/2*(2*ACOS(1-(B39+$K$22)/$K$21)-SIN(2*ACOS(1-(B39+$K$22)/$K$21)))-POWER($K$21,2)/2*(2*ACOS(1-($K$33+$K$22)/$K$21)-SIN(2*ACOS(1-($K$33+$K$22)/$K$21)))+$C$48)</f>
        <v>0</v>
      </c>
      <c r="D39" s="77">
        <f>IF(OR($B$27&lt;=0,$K$26&lt;=0),0,2*K21*PI()-K21*2*ACOS(1-(K21*SIN((180-(180-ATAN(1/$K$30)*180/PI()-(90-ATAN((K26/2)/(K21-K22))*180/PI()))-ASIN((K21-K22)/COS(ATAN((K26/2)/(K21-K22))*180/PI()*PI()/180)/K21*SIN((180-ATAN(1/$K$30)*180/PI()-(90-ATAN((K26/2)/(K21-K22))*180/PI()))*PI()/180))*180/PI())*PI()/180)/SIN((180-ATAN(1/$K$30)*180/PI()-(90-ATAN((K26/2)/(K21-K22))*180/PI()))*PI()/180)*SIN(ATAN(1/$K$30))+K22)/K21)*180/PI()*PI()/180+$D$48)</f>
        <v>0</v>
      </c>
      <c r="E39" s="77">
        <f aca="true" t="shared" si="3" ref="E39:E53">IF(ISERROR(C39/D39),0,C39/D39)</f>
        <v>0</v>
      </c>
      <c r="F39" s="78">
        <f>IF(OR($B$6&lt;=0,B39&lt;=0),0,-2*LOG(2.51*$B$9/(4*C39/D39*SQRT(8*$B$8*C39/D39*$B$6/1000))+$B$7/(1000*(14.84*C39/D39)))*SQRT(8*$B$8*C39/D39*$B$6/1000))</f>
        <v>0</v>
      </c>
      <c r="G39" s="79">
        <f aca="true" t="shared" si="4" ref="G39:G53">F39*C39</f>
        <v>0</v>
      </c>
      <c r="H39" s="80">
        <f aca="true" t="shared" si="5" ref="H39:H53">IF(ISERROR(G39/$B$33),0,G39/$B$33)</f>
        <v>0</v>
      </c>
      <c r="I39" s="77">
        <f aca="true" t="shared" si="6" ref="I39:I46">IF($B$27&lt;=0,0,2*$K$21*SIN(2*ACOS(1-(B39+$K$22)/$K$21)*180/PI()/2*PI()/180))</f>
        <v>0</v>
      </c>
      <c r="J39" s="80">
        <f aca="true" t="shared" si="7" ref="J39:J53">IF(ISERROR(F39/SQRT(($B$8*C39)/I39)),0,F39/SQRT(($B$8*C39)/I39))</f>
        <v>0</v>
      </c>
      <c r="K39" s="77">
        <f aca="true" t="shared" si="8" ref="K39:K53">IF(G39&lt;=0,0,IF(ISERROR(B39+POWER(F39,2)/(2*$B$8)),0,B39+POWER(F39,2)/(2*$B$8)))</f>
        <v>0</v>
      </c>
      <c r="L39" s="81">
        <f aca="true" t="shared" si="9" ref="L39:L53">$B$8*$B$6*E39</f>
        <v>0</v>
      </c>
      <c r="M39" s="2"/>
      <c r="N39" s="6"/>
      <c r="O39" s="27"/>
      <c r="P39" s="40"/>
      <c r="Q39" s="26"/>
      <c r="S39" s="26"/>
    </row>
    <row r="40" spans="1:16" ht="19.5" customHeight="1">
      <c r="A40" s="170">
        <f t="shared" si="0"/>
        <v>0</v>
      </c>
      <c r="B40" s="162">
        <f t="shared" si="1"/>
        <v>0</v>
      </c>
      <c r="C40" s="82">
        <f t="shared" si="2"/>
        <v>0</v>
      </c>
      <c r="D40" s="82">
        <f aca="true" t="shared" si="10" ref="D40:D46">IF(AND($B$27&lt;=0,$K$26&lt;=0),0,$K$21*2*ACOS(1-(B40+$K$22)/$K$21)*180/PI()*PI()/180-$K$21*2*ACOS(1-($K$33+$K$22)/$K$21)*180/PI()*PI()/180+$D$48)</f>
        <v>0</v>
      </c>
      <c r="E40" s="82">
        <f t="shared" si="3"/>
        <v>0</v>
      </c>
      <c r="F40" s="83">
        <f aca="true" t="shared" si="11" ref="F40:F53">IF(OR($B$6&lt;=0,B40&lt;=0),0,-2*LOG(2.51*$B$9/(4*C40/D40*SQRT(8*$B$8*C40/D40*$B$6/1000))+$B$7/(1000*(14.84*C40/D40)))*SQRT(8*$B$8*C40/D40*$B$6/1000))</f>
        <v>0</v>
      </c>
      <c r="G40" s="84">
        <f t="shared" si="4"/>
        <v>0</v>
      </c>
      <c r="H40" s="85">
        <f t="shared" si="5"/>
        <v>0</v>
      </c>
      <c r="I40" s="82">
        <f t="shared" si="6"/>
        <v>0</v>
      </c>
      <c r="J40" s="85">
        <f t="shared" si="7"/>
        <v>0</v>
      </c>
      <c r="K40" s="82">
        <f t="shared" si="8"/>
        <v>0</v>
      </c>
      <c r="L40" s="86">
        <f t="shared" si="9"/>
        <v>0</v>
      </c>
      <c r="M40" s="2"/>
      <c r="N40" s="6"/>
      <c r="O40" s="27"/>
      <c r="P40" s="40"/>
    </row>
    <row r="41" spans="1:19" ht="19.5" customHeight="1">
      <c r="A41" s="170">
        <f t="shared" si="0"/>
        <v>0</v>
      </c>
      <c r="B41" s="162">
        <f t="shared" si="1"/>
        <v>0</v>
      </c>
      <c r="C41" s="82">
        <f t="shared" si="2"/>
        <v>0</v>
      </c>
      <c r="D41" s="82">
        <f t="shared" si="10"/>
        <v>0</v>
      </c>
      <c r="E41" s="82">
        <f t="shared" si="3"/>
        <v>0</v>
      </c>
      <c r="F41" s="83">
        <f t="shared" si="11"/>
        <v>0</v>
      </c>
      <c r="G41" s="84">
        <f t="shared" si="4"/>
        <v>0</v>
      </c>
      <c r="H41" s="85">
        <f t="shared" si="5"/>
        <v>0</v>
      </c>
      <c r="I41" s="82">
        <f t="shared" si="6"/>
        <v>0</v>
      </c>
      <c r="J41" s="85">
        <f t="shared" si="7"/>
        <v>0</v>
      </c>
      <c r="K41" s="82">
        <f t="shared" si="8"/>
        <v>0</v>
      </c>
      <c r="L41" s="86">
        <f t="shared" si="9"/>
        <v>0</v>
      </c>
      <c r="M41" s="2"/>
      <c r="N41" s="214" t="s">
        <v>89</v>
      </c>
      <c r="O41" s="215">
        <f>IF(OR(B27&lt;=0,K26&lt;=0),0,B27/1000-K22-K33)</f>
        <v>0</v>
      </c>
      <c r="P41" s="40"/>
      <c r="S41" s="24"/>
    </row>
    <row r="42" spans="1:19" ht="19.5" customHeight="1">
      <c r="A42" s="170">
        <f t="shared" si="0"/>
        <v>0</v>
      </c>
      <c r="B42" s="162">
        <f t="shared" si="1"/>
        <v>0</v>
      </c>
      <c r="C42" s="82">
        <f t="shared" si="2"/>
        <v>0</v>
      </c>
      <c r="D42" s="82">
        <f t="shared" si="10"/>
        <v>0</v>
      </c>
      <c r="E42" s="82">
        <f t="shared" si="3"/>
        <v>0</v>
      </c>
      <c r="F42" s="83">
        <f t="shared" si="11"/>
        <v>0</v>
      </c>
      <c r="G42" s="84">
        <f t="shared" si="4"/>
        <v>0</v>
      </c>
      <c r="H42" s="85">
        <f t="shared" si="5"/>
        <v>0</v>
      </c>
      <c r="I42" s="82">
        <f t="shared" si="6"/>
        <v>0</v>
      </c>
      <c r="J42" s="85">
        <f t="shared" si="7"/>
        <v>0</v>
      </c>
      <c r="K42" s="82">
        <f t="shared" si="8"/>
        <v>0</v>
      </c>
      <c r="L42" s="86">
        <f t="shared" si="9"/>
        <v>0</v>
      </c>
      <c r="M42" s="2"/>
      <c r="N42" s="214"/>
      <c r="O42" s="215"/>
      <c r="P42" s="40"/>
      <c r="Q42" s="24"/>
      <c r="R42" s="24"/>
      <c r="S42" s="24"/>
    </row>
    <row r="43" spans="1:19" ht="19.5" customHeight="1">
      <c r="A43" s="170">
        <f t="shared" si="0"/>
        <v>0</v>
      </c>
      <c r="B43" s="162">
        <f t="shared" si="1"/>
        <v>0</v>
      </c>
      <c r="C43" s="82">
        <f t="shared" si="2"/>
        <v>0</v>
      </c>
      <c r="D43" s="82">
        <f t="shared" si="10"/>
        <v>0</v>
      </c>
      <c r="E43" s="82">
        <f t="shared" si="3"/>
        <v>0</v>
      </c>
      <c r="F43" s="83">
        <f t="shared" si="11"/>
        <v>0</v>
      </c>
      <c r="G43" s="84">
        <f t="shared" si="4"/>
        <v>0</v>
      </c>
      <c r="H43" s="85">
        <f t="shared" si="5"/>
        <v>0</v>
      </c>
      <c r="I43" s="82">
        <f t="shared" si="6"/>
        <v>0</v>
      </c>
      <c r="J43" s="85">
        <f t="shared" si="7"/>
        <v>0</v>
      </c>
      <c r="K43" s="82">
        <f t="shared" si="8"/>
        <v>0</v>
      </c>
      <c r="L43" s="86">
        <f t="shared" si="9"/>
        <v>0</v>
      </c>
      <c r="M43" s="2"/>
      <c r="N43" s="214"/>
      <c r="O43" s="215"/>
      <c r="P43" s="40"/>
      <c r="Q43" s="24"/>
      <c r="R43" s="24"/>
      <c r="S43" s="24"/>
    </row>
    <row r="44" spans="1:19" ht="19.5" customHeight="1">
      <c r="A44" s="170">
        <f t="shared" si="0"/>
        <v>0</v>
      </c>
      <c r="B44" s="162">
        <f t="shared" si="1"/>
        <v>0</v>
      </c>
      <c r="C44" s="82">
        <f t="shared" si="2"/>
        <v>0</v>
      </c>
      <c r="D44" s="82">
        <f t="shared" si="10"/>
        <v>0</v>
      </c>
      <c r="E44" s="82">
        <f t="shared" si="3"/>
        <v>0</v>
      </c>
      <c r="F44" s="83">
        <f t="shared" si="11"/>
        <v>0</v>
      </c>
      <c r="G44" s="84">
        <f t="shared" si="4"/>
        <v>0</v>
      </c>
      <c r="H44" s="85">
        <f t="shared" si="5"/>
        <v>0</v>
      </c>
      <c r="I44" s="82">
        <f t="shared" si="6"/>
        <v>0</v>
      </c>
      <c r="J44" s="85">
        <f t="shared" si="7"/>
        <v>0</v>
      </c>
      <c r="K44" s="82">
        <f t="shared" si="8"/>
        <v>0</v>
      </c>
      <c r="L44" s="86">
        <f t="shared" si="9"/>
        <v>0</v>
      </c>
      <c r="M44" s="2"/>
      <c r="N44" s="214"/>
      <c r="O44" s="215"/>
      <c r="P44" s="40"/>
      <c r="Q44" s="26"/>
      <c r="S44" s="24"/>
    </row>
    <row r="45" spans="1:15" ht="19.5" customHeight="1">
      <c r="A45" s="170">
        <f t="shared" si="0"/>
        <v>0</v>
      </c>
      <c r="B45" s="162">
        <f t="shared" si="1"/>
        <v>0</v>
      </c>
      <c r="C45" s="82">
        <f t="shared" si="2"/>
        <v>0</v>
      </c>
      <c r="D45" s="82">
        <f t="shared" si="10"/>
        <v>0</v>
      </c>
      <c r="E45" s="82">
        <f t="shared" si="3"/>
        <v>0</v>
      </c>
      <c r="F45" s="83">
        <f t="shared" si="11"/>
        <v>0</v>
      </c>
      <c r="G45" s="84">
        <f t="shared" si="4"/>
        <v>0</v>
      </c>
      <c r="H45" s="85">
        <f t="shared" si="5"/>
        <v>0</v>
      </c>
      <c r="I45" s="82">
        <f t="shared" si="6"/>
        <v>0</v>
      </c>
      <c r="J45" s="85">
        <f t="shared" si="7"/>
        <v>0</v>
      </c>
      <c r="K45" s="82">
        <f t="shared" si="8"/>
        <v>0</v>
      </c>
      <c r="L45" s="86">
        <f t="shared" si="9"/>
        <v>0</v>
      </c>
      <c r="M45" s="2"/>
      <c r="N45" s="214"/>
      <c r="O45" s="215"/>
    </row>
    <row r="46" spans="1:15" ht="19.5" customHeight="1">
      <c r="A46" s="170">
        <f t="shared" si="0"/>
        <v>0</v>
      </c>
      <c r="B46" s="162">
        <f>IF($B$53&lt;=0,0,($K$23-$K$33)/9)+B47</f>
        <v>0</v>
      </c>
      <c r="C46" s="82">
        <f t="shared" si="2"/>
        <v>0</v>
      </c>
      <c r="D46" s="82">
        <f t="shared" si="10"/>
        <v>0</v>
      </c>
      <c r="E46" s="82">
        <f t="shared" si="3"/>
        <v>0</v>
      </c>
      <c r="F46" s="83">
        <f t="shared" si="11"/>
        <v>0</v>
      </c>
      <c r="G46" s="84">
        <f t="shared" si="4"/>
        <v>0</v>
      </c>
      <c r="H46" s="85">
        <f t="shared" si="5"/>
        <v>0</v>
      </c>
      <c r="I46" s="82">
        <f t="shared" si="6"/>
        <v>0</v>
      </c>
      <c r="J46" s="85">
        <f t="shared" si="7"/>
        <v>0</v>
      </c>
      <c r="K46" s="82">
        <f t="shared" si="8"/>
        <v>0</v>
      </c>
      <c r="L46" s="86">
        <f t="shared" si="9"/>
        <v>0</v>
      </c>
      <c r="M46" s="2"/>
      <c r="N46" s="88"/>
      <c r="O46" s="89"/>
    </row>
    <row r="47" spans="1:18" ht="19.5" customHeight="1">
      <c r="A47" s="170">
        <f t="shared" si="0"/>
        <v>0</v>
      </c>
      <c r="B47" s="163">
        <f>IF(OR(E13&lt;=0,B27&lt;=0),0,(K23-$K$33)/9)+K33</f>
        <v>0</v>
      </c>
      <c r="C47" s="90">
        <f>IF(AND($B$27&lt;=0,$K$26&lt;=0),0,POWER($K$21,2)/2*(2*ACOS(1-(B47+$K$22)/$K$21)-SIN(2*ACOS(1-(B47+$K$22)/$K$21)))-POWER($K$21,2)/2*(2*ACOS(1-($K$33+$K$22)/$K$21)-SIN(2*ACOS(1-($K$33+$K$22)/$K$21)))+$C$48)</f>
        <v>0</v>
      </c>
      <c r="D47" s="90">
        <f>IF(AND($B$27&lt;=0,$K$26&lt;=0),0,$K$21*2*ACOS(1-(B47+$K$22)/$K$21)*180/PI()*PI()/180-$K$21*2*ACOS(1-($K$33+$K$22)/$K$21)*180/PI()*PI()/180+$D$48)</f>
        <v>0</v>
      </c>
      <c r="E47" s="90">
        <f t="shared" si="3"/>
        <v>0</v>
      </c>
      <c r="F47" s="91">
        <f t="shared" si="11"/>
        <v>0</v>
      </c>
      <c r="G47" s="92">
        <f t="shared" si="4"/>
        <v>0</v>
      </c>
      <c r="H47" s="93">
        <f t="shared" si="5"/>
        <v>0</v>
      </c>
      <c r="I47" s="90">
        <f>IF($B$27&lt;=0,0,2*$K$21*SIN(2*ACOS(1-(B47+$K$22)/$K$21)*180/PI()/2*PI()/180))</f>
        <v>0</v>
      </c>
      <c r="J47" s="93">
        <f t="shared" si="7"/>
        <v>0</v>
      </c>
      <c r="K47" s="90">
        <f t="shared" si="8"/>
        <v>0</v>
      </c>
      <c r="L47" s="94">
        <f t="shared" si="9"/>
        <v>0</v>
      </c>
      <c r="M47" s="2"/>
      <c r="N47" s="88"/>
      <c r="O47" s="89"/>
      <c r="R47" s="24"/>
    </row>
    <row r="48" spans="1:16" ht="19.5" customHeight="1">
      <c r="A48" s="170">
        <f t="shared" si="0"/>
        <v>0</v>
      </c>
      <c r="B48" s="164">
        <f>IF($K$21&lt;=0,0,ROUNDUP($K$33/6+B49,4))</f>
        <v>0</v>
      </c>
      <c r="C48" s="95">
        <f aca="true" t="shared" si="12" ref="C48:C53">((B48*$K$30)+$K$26)*B48</f>
        <v>0</v>
      </c>
      <c r="D48" s="95">
        <f aca="true" t="shared" si="13" ref="D48:D53">2*SQRT(POWER((B48-$B$54),2)+POWER(((B48-$B$54)*$K$30),2))+$K$26</f>
        <v>0</v>
      </c>
      <c r="E48" s="95">
        <f t="shared" si="3"/>
        <v>0</v>
      </c>
      <c r="F48" s="176">
        <f t="shared" si="11"/>
        <v>0</v>
      </c>
      <c r="G48" s="96">
        <f t="shared" si="4"/>
        <v>0</v>
      </c>
      <c r="H48" s="97">
        <f t="shared" si="5"/>
        <v>0</v>
      </c>
      <c r="I48" s="95">
        <f>2*B48*$K$30+K26</f>
        <v>0</v>
      </c>
      <c r="J48" s="97">
        <f t="shared" si="7"/>
        <v>0</v>
      </c>
      <c r="K48" s="95">
        <f t="shared" si="8"/>
        <v>0</v>
      </c>
      <c r="L48" s="98">
        <f t="shared" si="9"/>
        <v>0</v>
      </c>
      <c r="M48" s="2"/>
      <c r="N48" s="88"/>
      <c r="O48" s="89"/>
      <c r="P48" s="40"/>
    </row>
    <row r="49" spans="1:18" ht="19.5" customHeight="1">
      <c r="A49" s="170">
        <f t="shared" si="0"/>
        <v>0</v>
      </c>
      <c r="B49" s="164">
        <f>IF($K$21&lt;=0,0,$K$33/6+B50)</f>
        <v>0</v>
      </c>
      <c r="C49" s="99">
        <f t="shared" si="12"/>
        <v>0</v>
      </c>
      <c r="D49" s="99">
        <f t="shared" si="13"/>
        <v>0</v>
      </c>
      <c r="E49" s="99">
        <f t="shared" si="3"/>
        <v>0</v>
      </c>
      <c r="F49" s="100">
        <f t="shared" si="11"/>
        <v>0</v>
      </c>
      <c r="G49" s="48">
        <f t="shared" si="4"/>
        <v>0</v>
      </c>
      <c r="H49" s="101">
        <f t="shared" si="5"/>
        <v>0</v>
      </c>
      <c r="I49" s="99">
        <f>2*(B49-$B$54)*$K$30+$K$26</f>
        <v>0</v>
      </c>
      <c r="J49" s="101">
        <f t="shared" si="7"/>
        <v>0</v>
      </c>
      <c r="K49" s="99">
        <f t="shared" si="8"/>
        <v>0</v>
      </c>
      <c r="L49" s="102">
        <f t="shared" si="9"/>
        <v>0</v>
      </c>
      <c r="M49" s="2"/>
      <c r="N49" s="214" t="s">
        <v>87</v>
      </c>
      <c r="O49" s="215">
        <f>IF(OR(K26&lt;=0,B27&lt;=0),0,K33)</f>
        <v>0</v>
      </c>
      <c r="P49" s="40"/>
      <c r="Q49" s="24"/>
      <c r="R49" s="24"/>
    </row>
    <row r="50" spans="1:17" ht="19.5" customHeight="1">
      <c r="A50" s="170">
        <f t="shared" si="0"/>
        <v>0</v>
      </c>
      <c r="B50" s="164">
        <f>IF($K$21&lt;=0,0,$K$33/6+B51)</f>
        <v>0</v>
      </c>
      <c r="C50" s="99">
        <f t="shared" si="12"/>
        <v>0</v>
      </c>
      <c r="D50" s="99">
        <f t="shared" si="13"/>
        <v>0</v>
      </c>
      <c r="E50" s="99">
        <f t="shared" si="3"/>
        <v>0</v>
      </c>
      <c r="F50" s="100">
        <f t="shared" si="11"/>
        <v>0</v>
      </c>
      <c r="G50" s="48">
        <f t="shared" si="4"/>
        <v>0</v>
      </c>
      <c r="H50" s="101">
        <f t="shared" si="5"/>
        <v>0</v>
      </c>
      <c r="I50" s="99">
        <f>2*(B50-$B$54)*$K$30+$K$26</f>
        <v>0</v>
      </c>
      <c r="J50" s="101">
        <f t="shared" si="7"/>
        <v>0</v>
      </c>
      <c r="K50" s="99">
        <f t="shared" si="8"/>
        <v>0</v>
      </c>
      <c r="L50" s="102">
        <f t="shared" si="9"/>
        <v>0</v>
      </c>
      <c r="M50" s="2"/>
      <c r="N50" s="214"/>
      <c r="O50" s="215"/>
      <c r="P50" s="40"/>
      <c r="Q50" s="24"/>
    </row>
    <row r="51" spans="1:17" ht="19.5" customHeight="1">
      <c r="A51" s="170">
        <f t="shared" si="0"/>
        <v>0</v>
      </c>
      <c r="B51" s="164">
        <f>IF($K$21&lt;=0,0,$K$33/6+B52)</f>
        <v>0</v>
      </c>
      <c r="C51" s="99">
        <f t="shared" si="12"/>
        <v>0</v>
      </c>
      <c r="D51" s="99">
        <f t="shared" si="13"/>
        <v>0</v>
      </c>
      <c r="E51" s="99">
        <f t="shared" si="3"/>
        <v>0</v>
      </c>
      <c r="F51" s="100">
        <f t="shared" si="11"/>
        <v>0</v>
      </c>
      <c r="G51" s="48">
        <f t="shared" si="4"/>
        <v>0</v>
      </c>
      <c r="H51" s="101">
        <f t="shared" si="5"/>
        <v>0</v>
      </c>
      <c r="I51" s="99">
        <f>2*(B51-$B$54)*$K$30+$K$26</f>
        <v>0</v>
      </c>
      <c r="J51" s="101">
        <f t="shared" si="7"/>
        <v>0</v>
      </c>
      <c r="K51" s="99">
        <f t="shared" si="8"/>
        <v>0</v>
      </c>
      <c r="L51" s="102">
        <f t="shared" si="9"/>
        <v>0</v>
      </c>
      <c r="M51" s="2"/>
      <c r="N51" s="214"/>
      <c r="O51" s="215"/>
      <c r="P51" s="40"/>
      <c r="Q51" s="24"/>
    </row>
    <row r="52" spans="1:17" ht="19.5" customHeight="1">
      <c r="A52" s="170">
        <f t="shared" si="0"/>
        <v>0</v>
      </c>
      <c r="B52" s="164">
        <f>IF($K$21&lt;=0,0,$K$33/6+B53)</f>
        <v>0</v>
      </c>
      <c r="C52" s="99">
        <f t="shared" si="12"/>
        <v>0</v>
      </c>
      <c r="D52" s="99">
        <f t="shared" si="13"/>
        <v>0</v>
      </c>
      <c r="E52" s="99">
        <f t="shared" si="3"/>
        <v>0</v>
      </c>
      <c r="F52" s="100">
        <f t="shared" si="11"/>
        <v>0</v>
      </c>
      <c r="G52" s="48">
        <f t="shared" si="4"/>
        <v>0</v>
      </c>
      <c r="H52" s="101">
        <f t="shared" si="5"/>
        <v>0</v>
      </c>
      <c r="I52" s="99">
        <f>2*(B52-$B$54)*$K$30+$K$26</f>
        <v>0</v>
      </c>
      <c r="J52" s="101">
        <f t="shared" si="7"/>
        <v>0</v>
      </c>
      <c r="K52" s="99">
        <f t="shared" si="8"/>
        <v>0</v>
      </c>
      <c r="L52" s="102">
        <f t="shared" si="9"/>
        <v>0</v>
      </c>
      <c r="M52" s="2"/>
      <c r="N52" s="214"/>
      <c r="O52" s="215"/>
      <c r="P52" s="40"/>
      <c r="Q52" s="24"/>
    </row>
    <row r="53" spans="1:15" ht="19.5" customHeight="1">
      <c r="A53" s="171">
        <f>B53+$A$54</f>
        <v>0</v>
      </c>
      <c r="B53" s="165">
        <f>IF($K$21&lt;=0,0,$K$33/6)</f>
        <v>0</v>
      </c>
      <c r="C53" s="103">
        <f t="shared" si="12"/>
        <v>0</v>
      </c>
      <c r="D53" s="103">
        <f t="shared" si="13"/>
        <v>0</v>
      </c>
      <c r="E53" s="103">
        <f t="shared" si="3"/>
        <v>0</v>
      </c>
      <c r="F53" s="104">
        <f t="shared" si="11"/>
        <v>0</v>
      </c>
      <c r="G53" s="105">
        <f t="shared" si="4"/>
        <v>0</v>
      </c>
      <c r="H53" s="106">
        <f t="shared" si="5"/>
        <v>0</v>
      </c>
      <c r="I53" s="103">
        <f>2*(B53-$B$54)*$K$30+$K$26</f>
        <v>0</v>
      </c>
      <c r="J53" s="106">
        <f t="shared" si="7"/>
        <v>0</v>
      </c>
      <c r="K53" s="103">
        <f t="shared" si="8"/>
        <v>0</v>
      </c>
      <c r="L53" s="107">
        <f t="shared" si="9"/>
        <v>0</v>
      </c>
      <c r="M53" s="2"/>
      <c r="N53" s="88"/>
      <c r="O53" s="89"/>
    </row>
    <row r="54" spans="1:15" ht="19.5" customHeight="1">
      <c r="A54" s="172">
        <f>K22</f>
        <v>0</v>
      </c>
      <c r="B54" s="148"/>
      <c r="C54" s="108"/>
      <c r="D54" s="108"/>
      <c r="E54" s="108"/>
      <c r="F54" s="108"/>
      <c r="G54" s="108"/>
      <c r="H54" s="108"/>
      <c r="I54" s="108"/>
      <c r="J54" s="108"/>
      <c r="K54" s="108"/>
      <c r="L54" s="109"/>
      <c r="M54" s="2"/>
      <c r="N54" s="87" t="s">
        <v>88</v>
      </c>
      <c r="O54" s="213">
        <f>IF(OR(K22&lt;=0,B27&lt;=0),0,K22)</f>
        <v>0</v>
      </c>
    </row>
    <row r="55" spans="1:15" ht="12" customHeight="1">
      <c r="A55" s="15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84"/>
      <c r="M55" s="2"/>
      <c r="N55" s="87"/>
      <c r="O55" s="213"/>
    </row>
    <row r="56" spans="1:17" ht="19.5" customHeight="1">
      <c r="A56" s="150"/>
      <c r="B56" s="193" t="s">
        <v>78</v>
      </c>
      <c r="C56" s="193"/>
      <c r="D56" s="193"/>
      <c r="E56" s="193"/>
      <c r="F56" s="145"/>
      <c r="G56" s="146"/>
      <c r="H56" s="147"/>
      <c r="I56" s="112"/>
      <c r="J56" s="146"/>
      <c r="K56" s="146"/>
      <c r="L56" s="185"/>
      <c r="M56" s="2"/>
      <c r="N56" s="21"/>
      <c r="O56" s="89"/>
      <c r="Q56" s="24"/>
    </row>
    <row r="57" spans="1:17" ht="19.5" customHeight="1">
      <c r="A57" s="173">
        <f>IF(B57&lt;=0,0,B57+$A$54)</f>
        <v>0</v>
      </c>
      <c r="B57" s="149"/>
      <c r="C57" s="113">
        <f>IF(B57&lt;=0,0,IF(AND(B57&gt;$B$54,B57&lt;=$B$48),((B57*$K$30)+$K$26)*B57,IF(AND(B57&gt;$B$48,B57&lt;$B$39),POWER($K$21,2)/2*(2*ACOS(1-(B57+$K$22)/$K$21)-SIN(2*ACOS(1-(B57+$K$22)/$K$21)))-POWER($K$21,2)/2*(2*ACOS(1-($K$33+$K$22)/$K$21)-SIN(2*ACOS(1-($K$33+$K$22)/$K$21)))+$C$48,IF(B57+$A$54=$B$27/1000,$C$39))))</f>
        <v>0</v>
      </c>
      <c r="D57" s="113">
        <f>IF(B57&lt;=0,0,IF(AND(B57&gt;$B$54,B57&lt;=$B$48),2*SQRT(POWER((B57-$B$54),2)+POWER(((B57-$B$54)*$K$30),2))+$K$26,IF(AND(B57&gt;$B$48,B57&lt;$B$39),$K$21*2*ACOS(1-(B57+$K$22)/$K$21)-$K$21*2*ACOS(1-($K$33+$K$22)/$K$21)+$D$48,IF(B57+A54=B27/1000,D39))))</f>
        <v>0</v>
      </c>
      <c r="E57" s="113">
        <f>IF(B57&lt;=0,0,IF(ISERROR(C57/D57),0,C57/D57))</f>
        <v>0</v>
      </c>
      <c r="F57" s="113">
        <f>IF(ISERROR(-2*LOG(2.51*$B$9/(4*E57*SQRT(8*$B$8*E57*$B$6/1000))+$B$7/(1000*(14.84*E57)))*SQRT(8*$B$8*E57*$B$6/1000)),0,-2*LOG(2.51*$B$9/(4*E57*SQRT(8*$B$8*E57*$B$6/1000))+$B$7/(1000*(14.84*E57)))*SQRT(8*$B$8*E57*$B$6/1000))</f>
        <v>0</v>
      </c>
      <c r="G57" s="114">
        <f>F57*C57</f>
        <v>0</v>
      </c>
      <c r="H57" s="115">
        <f>IF(ISERROR(G57/$B$33),0,G57/$B$33)</f>
        <v>0</v>
      </c>
      <c r="I57" s="113">
        <f>IF(B57&lt;=0,0,IF(AND(B57&gt;$B$54,B57&lt;=$B$48),2*(B57-$B$54)*$K$30+$K$26,IF(AND(B57&gt;$B$48,B57&lt;=$B$39),IF($B$27&lt;=0,0,2*$K$21*SIN(2*ACOS(1-B57/$K$21)*180/PI()/2*PI()/180)))))</f>
        <v>0</v>
      </c>
      <c r="J57" s="115">
        <f>IF(ISERROR(F57/SQRT(($B$8*C57)/I57)),0,F57/SQRT(($B$8*C57)/I57))</f>
        <v>0</v>
      </c>
      <c r="K57" s="113">
        <f>IF(K26&lt;=0,0,B57+POWER(F57,2)/(2*$B$8))</f>
        <v>0</v>
      </c>
      <c r="L57" s="186">
        <f>$B$8*$B$6*E57</f>
        <v>0</v>
      </c>
      <c r="M57" s="2"/>
      <c r="N57" s="6"/>
      <c r="O57" s="116"/>
      <c r="Q57" s="24"/>
    </row>
    <row r="58" spans="1:15" ht="12" customHeight="1">
      <c r="A58" s="150"/>
      <c r="B58" s="67"/>
      <c r="C58" s="67"/>
      <c r="D58" s="67"/>
      <c r="E58" s="67"/>
      <c r="F58" s="67"/>
      <c r="G58" s="57"/>
      <c r="H58" s="117"/>
      <c r="I58" s="117"/>
      <c r="J58" s="117"/>
      <c r="K58" s="67"/>
      <c r="L58" s="187"/>
      <c r="M58" s="2"/>
      <c r="N58" s="6"/>
      <c r="O58" s="7"/>
    </row>
    <row r="59" spans="1:17" ht="19.5" customHeight="1">
      <c r="A59" s="150"/>
      <c r="B59" s="192" t="s">
        <v>79</v>
      </c>
      <c r="C59" s="192"/>
      <c r="D59" s="192"/>
      <c r="E59" s="192"/>
      <c r="F59" s="110"/>
      <c r="G59" s="111"/>
      <c r="H59" s="111"/>
      <c r="I59" s="112"/>
      <c r="J59" s="111"/>
      <c r="K59" s="111"/>
      <c r="L59" s="185"/>
      <c r="M59" s="2"/>
      <c r="N59" s="6"/>
      <c r="O59" s="27"/>
      <c r="Q59" s="24"/>
    </row>
    <row r="60" spans="1:17" ht="19.5" customHeight="1">
      <c r="A60" s="173">
        <f>IF(B60&lt;=0,0,B60+$A$54)</f>
        <v>0</v>
      </c>
      <c r="B60" s="149"/>
      <c r="C60" s="166">
        <f>IF(B60&lt;=0,0,IF(AND(B60&gt;$B$54,B60&lt;=$B$48),((B60*$K$30)+$K$26)*B60,IF(AND(B60&gt;$B$48,B60&lt;$B$39),POWER($K$21,2)/2*(2*ACOS(1-(B60+$K$22)/$K$21)-SIN(2*ACOS(1-(B60+$K$22)/$K$21)))-POWER($K$21,2)/2*(2*ACOS(1-($K$33+$K$22)/$K$21)-SIN(2*ACOS(1-($K$33+$K$22)/$K$21)))+$C$48,IF(B60+$A$54=$B$27/1000,$C$39))))</f>
        <v>0</v>
      </c>
      <c r="D60" s="166">
        <f>IF(B60&lt;=0,0,IF(AND(B60&gt;$B$54,B60&lt;=$B$48),2*SQRT(POWER((B60-$B$54),2)+POWER(((B60-$B$54)*$K$30),2))+$K$26,IF(AND(B60&gt;$B$48,B60&lt;$B$39),$K$21*2*ACOS(1-(B60+$K$22)/$K$21)-$K$21*2*ACOS(1-($K$33+$K$22)/$K$21)+$D$48,IF(B60+A57=B30/1000,D42))))</f>
        <v>0</v>
      </c>
      <c r="E60" s="166">
        <f>IF(ISERROR(C60/D60),0,C60/D60)</f>
        <v>0</v>
      </c>
      <c r="F60" s="166">
        <f>IF(ISERROR(-2*LOG(2.51*$B$9/(4*E60*SQRT(8*$B$8*E60*$B$6/1000))+$B$7/(1000*(14.84*E60)))*SQRT(8*$B$8*E60*$B$6/1000)),0,-2*LOG(2.51*$B$9/(4*E60*SQRT(8*$B$8*E60*$B$6/1000))+$B$7/(1000*(14.84*E60)))*SQRT(8*$B$8*E60*$B$6/1000))</f>
        <v>0</v>
      </c>
      <c r="G60" s="167">
        <f>F60*C60</f>
        <v>0</v>
      </c>
      <c r="H60" s="168">
        <f>IF(ISERROR(G60/$B$33),0,G60/$B$33)</f>
        <v>0</v>
      </c>
      <c r="I60" s="166">
        <f>IF(B60&lt;=0,0,IF(AND(B60&gt;$B$54,B60&lt;=$B$48),2*(B60-$B$54)*$K$30+$K$26,IF(AND(B60&gt;$B$48,B60&lt;=$B$39),IF($B$27&lt;=0,0,2*$K$21*SIN(2*ACOS(1-B60/$K$21)*180/PI()/2*PI()/180)))))</f>
        <v>0</v>
      </c>
      <c r="J60" s="168">
        <f>IF(ISERROR(F60/SQRT(($B$8*C60)/I60)),0,F60/SQRT(($B$8*C60)/I60))</f>
        <v>0</v>
      </c>
      <c r="K60" s="166">
        <f>IF(K26&lt;=0,0,B60+POWER(F60,2)/(2*$B$8))</f>
        <v>0</v>
      </c>
      <c r="L60" s="188">
        <f>$B$8*$B$6*E60</f>
        <v>0</v>
      </c>
      <c r="M60" s="2"/>
      <c r="N60" s="6"/>
      <c r="O60" s="27"/>
      <c r="Q60" s="24"/>
    </row>
    <row r="61" spans="1:15" ht="12" customHeight="1">
      <c r="A61" s="150"/>
      <c r="B61" s="67"/>
      <c r="C61" s="67"/>
      <c r="D61" s="67"/>
      <c r="E61" s="67"/>
      <c r="F61" s="67"/>
      <c r="G61" s="57"/>
      <c r="H61" s="117"/>
      <c r="I61" s="117"/>
      <c r="J61" s="117"/>
      <c r="K61" s="67"/>
      <c r="L61" s="187"/>
      <c r="M61" s="2"/>
      <c r="N61" s="6"/>
      <c r="O61" s="7"/>
    </row>
    <row r="62" spans="1:17" ht="19.5" customHeight="1">
      <c r="A62" s="150"/>
      <c r="B62" s="192" t="s">
        <v>80</v>
      </c>
      <c r="C62" s="192"/>
      <c r="D62" s="192"/>
      <c r="E62" s="192"/>
      <c r="F62" s="110"/>
      <c r="G62" s="111"/>
      <c r="H62" s="111"/>
      <c r="I62" s="112"/>
      <c r="J62" s="111"/>
      <c r="K62" s="111"/>
      <c r="L62" s="185"/>
      <c r="M62" s="2"/>
      <c r="N62" s="6"/>
      <c r="O62" s="27"/>
      <c r="Q62" s="24"/>
    </row>
    <row r="63" spans="1:15" ht="19.5" customHeight="1">
      <c r="A63" s="173">
        <f>IF(B63&lt;=0,0,B63+$A$54)</f>
        <v>0</v>
      </c>
      <c r="B63" s="149"/>
      <c r="C63" s="113">
        <f>IF(B63&lt;=0,0,IF(AND(B63&gt;$B$54,B63&lt;=$B$48),((B63*$K$30)+$K$26)*B63,IF(AND(B63&gt;$B$48,B63&lt;$B$39),POWER($K$21,2)/2*(2*ACOS(1-(B63+$K$22)/$K$21)-SIN(2*ACOS(1-(B63+$K$22)/$K$21)))-POWER($K$21,2)/2*(2*ACOS(1-($K$33+$K$22)/$K$21)-SIN(2*ACOS(1-($K$33+$K$22)/$K$21)))+$C$48,IF(B63+$A$54=$B$27/1000,$C$39))))</f>
        <v>0</v>
      </c>
      <c r="D63" s="113">
        <f>IF(B63&lt;=0,0,IF(AND(B63&gt;$B$54,B63&lt;=$B$48),2*SQRT(POWER((B63-$B$54),2)+POWER(((B63-$B$54)*$K$30),2))+$K$26,IF(AND(B63&gt;$B$48,B63&lt;$B$39),$K$21*2*ACOS(1-(B63+$K$22)/$K$21)-$K$21*2*ACOS(1-($K$33+$K$22)/$K$21)+$D$48,IF(B63+A60=B33/1000,D45))))</f>
        <v>0</v>
      </c>
      <c r="E63" s="113">
        <f>IF(ISERROR(C63/D63),0,C63/D63)</f>
        <v>0</v>
      </c>
      <c r="F63" s="113">
        <f>IF(ISERROR(-2*LOG(2.51*$B$9/(4*E63*SQRT(8*$B$8*E63*$B$6/1000))+$B$7/(1000*(14.84*E63)))*SQRT(8*$B$8*E63*$B$6/1000)),0,-2*LOG(2.51*$B$9/(4*E63*SQRT(8*$B$8*E63*$B$6/1000))+$B$7/(1000*(14.84*E63)))*SQRT(8*$B$8*E63*$B$6/1000))</f>
        <v>0</v>
      </c>
      <c r="G63" s="114">
        <f>F63*C63</f>
        <v>0</v>
      </c>
      <c r="H63" s="115">
        <f>IF(ISERROR(G63/$B$33),0,G63/$B$33)</f>
        <v>0</v>
      </c>
      <c r="I63" s="113">
        <f>IF(B63&lt;=0,0,IF(AND(B63&gt;$B$54,B63&lt;=$B$48),2*(B63-$B$54)*$K$30+$K$26,IF(AND(B63&gt;$B$48,B63&lt;=$B$39),IF($B$27&lt;=0,0,2*$K$21*SIN(2*ACOS(1-B63/$K$21)*180/PI()/2*PI()/180)))))</f>
        <v>0</v>
      </c>
      <c r="J63" s="115">
        <f>IF(ISERROR(F63/SQRT(($B$8*C63)/I63)),0,F63/SQRT(($B$8*C63)/I63))</f>
        <v>0</v>
      </c>
      <c r="K63" s="113">
        <f>IF(K26&lt;=0,0,B63+POWER(F63,2)/(2*$B$8))</f>
        <v>0</v>
      </c>
      <c r="L63" s="186">
        <f>$B$8*$B$6*E63</f>
        <v>0</v>
      </c>
      <c r="M63" s="2"/>
      <c r="N63" s="6"/>
      <c r="O63" s="7"/>
    </row>
    <row r="64" spans="1:15" ht="10.5" customHeight="1" thickBot="1">
      <c r="A64" s="189"/>
      <c r="B64" s="190"/>
      <c r="C64" s="119"/>
      <c r="D64" s="119"/>
      <c r="E64" s="119"/>
      <c r="F64" s="119"/>
      <c r="G64" s="120"/>
      <c r="H64" s="121"/>
      <c r="I64" s="121"/>
      <c r="J64" s="121"/>
      <c r="K64" s="119"/>
      <c r="L64" s="122"/>
      <c r="M64" s="123"/>
      <c r="N64" s="124"/>
      <c r="O64" s="125"/>
    </row>
    <row r="65" spans="1:13" ht="9.75" customHeight="1">
      <c r="A65" s="126" t="s">
        <v>92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27"/>
    </row>
    <row r="66" spans="2:17" ht="18" customHeight="1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  <c r="O66" s="26"/>
      <c r="Q66" s="26"/>
    </row>
    <row r="67" spans="2:17" ht="18" customHeight="1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24"/>
      <c r="Q67" s="24"/>
    </row>
    <row r="68" spans="2:17" ht="18" customHeight="1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O68" s="24"/>
      <c r="Q68" s="24"/>
    </row>
    <row r="69" spans="2:17" ht="18" customHeight="1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8"/>
      <c r="O69" s="24"/>
      <c r="Q69" s="24"/>
    </row>
    <row r="70" spans="2:17" ht="18" customHeight="1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O70" s="26"/>
      <c r="Q70" s="26"/>
    </row>
    <row r="71" spans="2:17" ht="18" customHeight="1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O71" s="24"/>
      <c r="Q71" s="24"/>
    </row>
    <row r="72" spans="2:13" ht="18" customHeight="1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</row>
    <row r="73" spans="2:13" ht="18" customHeight="1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</row>
    <row r="74" spans="2:13" ht="18" customHeight="1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</row>
    <row r="75" spans="2:13" ht="18" customHeight="1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</row>
    <row r="76" spans="2:15" ht="18" customHeight="1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41"/>
    </row>
    <row r="77" spans="2:13" ht="18" customHeight="1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  <row r="78" spans="2:13" ht="18" customHeight="1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  <row r="79" spans="2:13" ht="18" customHeight="1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</row>
    <row r="80" spans="2:13" ht="18" customHeight="1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2:13" ht="18" customHeight="1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</row>
    <row r="82" spans="2:13" ht="18" customHeight="1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</row>
    <row r="83" spans="2:13" ht="18" customHeight="1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</row>
    <row r="84" spans="2:13" ht="18" customHeight="1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</row>
    <row r="85" spans="2:13" ht="18" customHeight="1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2:13" ht="18" customHeight="1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</row>
    <row r="87" spans="2:13" ht="18" customHeight="1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2:13" ht="18" customHeight="1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</row>
    <row r="89" spans="2:13" ht="18" customHeight="1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2:13" ht="18" customHeight="1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2:13" ht="18" customHeight="1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</row>
    <row r="92" spans="2:13" ht="12.75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2:13" ht="12.75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2:13" ht="12.75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</row>
    <row r="95" spans="2:13" ht="12.75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</row>
    <row r="96" spans="2:13" ht="12.75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2:13" ht="12.75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2:13" ht="12.75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2:13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2:13" ht="12.75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2:13" ht="12.75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2:13" ht="12.75"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2:13" ht="12.75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</row>
    <row r="104" spans="2:13" ht="12.75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2:13" ht="12.75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2:13" ht="12.75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2:13" ht="12.75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2:13" ht="12.75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2:13" ht="12.75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2:13" ht="12.75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3" ht="12.75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3" ht="12.75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ht="12.75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ht="12.75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ht="12.75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ht="12.75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ht="12.75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ht="12.75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ht="12.75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ht="12.75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ht="12.75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ht="12.75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ht="12.75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ht="12.75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ht="12.75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ht="12.75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ht="12.75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ht="12.75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ht="12.75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ht="12.75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ht="12.75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ht="12.75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ht="12.75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ht="12.75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ht="12.75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ht="12.75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ht="12.75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ht="12.75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ht="12.75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ht="12.75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ht="12.75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ht="12.75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ht="12.75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ht="12.75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ht="12.75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ht="12.75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ht="12.75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ht="12.75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ht="12.75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ht="12.75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ht="12.75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ht="12.75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ht="12.75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ht="12.75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ht="12.75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ht="12.75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ht="12.75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ht="12.75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ht="12.75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</sheetData>
  <sheetProtection password="89A8" sheet="1"/>
  <mergeCells count="19">
    <mergeCell ref="O54:O55"/>
    <mergeCell ref="I25:K25"/>
    <mergeCell ref="I29:K29"/>
    <mergeCell ref="N49:N52"/>
    <mergeCell ref="O49:O52"/>
    <mergeCell ref="O41:O45"/>
    <mergeCell ref="N41:N45"/>
    <mergeCell ref="A1:A2"/>
    <mergeCell ref="B1:L1"/>
    <mergeCell ref="B2:L2"/>
    <mergeCell ref="M37:N37"/>
    <mergeCell ref="K6:L6"/>
    <mergeCell ref="M1:O2"/>
    <mergeCell ref="A35:A36"/>
    <mergeCell ref="A16:C16"/>
    <mergeCell ref="B62:E62"/>
    <mergeCell ref="B59:E59"/>
    <mergeCell ref="B56:E56"/>
    <mergeCell ref="I20:K20"/>
  </mergeCells>
  <printOptions horizontalCentered="1" verticalCentered="1"/>
  <pageMargins left="0.7874015748031497" right="0.1968503937007874" top="0.1968503937007874" bottom="0.1968503937007874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2016-03-31T11:06:41Z</cp:lastPrinted>
  <dcterms:created xsi:type="dcterms:W3CDTF">2016-03-24T10:08:46Z</dcterms:created>
  <dcterms:modified xsi:type="dcterms:W3CDTF">2016-04-05T06:21:48Z</dcterms:modified>
  <cp:category/>
  <cp:version/>
  <cp:contentType/>
  <cp:contentStatus/>
</cp:coreProperties>
</file>